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8\Datenbank\Dateien\Tabellen\"/>
    </mc:Choice>
  </mc:AlternateContent>
  <bookViews>
    <workbookView xWindow="0" yWindow="0" windowWidth="13125" windowHeight="6105"/>
  </bookViews>
  <sheets>
    <sheet name="INTRO" sheetId="14" r:id="rId1"/>
    <sheet name="TOTAL" sheetId="1" r:id="rId2"/>
    <sheet name="DOT" sheetId="7" r:id="rId3"/>
    <sheet name="GLA_1" sheetId="2" r:id="rId4"/>
    <sheet name="GLA_2" sheetId="6" r:id="rId5"/>
    <sheet name="SLA_AC_1" sheetId="8" r:id="rId6"/>
    <sheet name="SLA_AC_2" sheetId="10" r:id="rId7"/>
    <sheet name="SLA_F_1" sheetId="11" r:id="rId8"/>
    <sheet name="SLA_F_2" sheetId="12" r:id="rId9"/>
    <sheet name="DFIE" sheetId="15" state="veryHidden" r:id="rId10"/>
  </sheets>
  <definedNames>
    <definedName name="B" localSheetId="9">#REF!</definedName>
    <definedName name="B">#REF!</definedName>
    <definedName name="_xlnm.Print_Area" localSheetId="2">DOT!$B$1:$K$12</definedName>
    <definedName name="_xlnm.Print_Area" localSheetId="3">GLA_1!$B$1:$P$67</definedName>
    <definedName name="_xlnm.Print_Area" localSheetId="4">GLA_2!$B$1:$G$35</definedName>
    <definedName name="_xlnm.Print_Area" localSheetId="5">SLA_AC_1!$B$1:$L$35</definedName>
    <definedName name="_xlnm.Print_Area" localSheetId="6">SLA_AC_2!$B$1:$O$39</definedName>
    <definedName name="_xlnm.Print_Area" localSheetId="7">SLA_F_1!$B$1:$K$32</definedName>
    <definedName name="_xlnm.Print_Area" localSheetId="8">SLA_F_2!$B$1:$H$38</definedName>
    <definedName name="_xlnm.Print_Area" localSheetId="1">TOTAL!$A$1:$G$36</definedName>
    <definedName name="RI">#REF!</definedName>
    <definedName name="sse">#REF!</definedName>
    <definedName name="Summe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B172" i="15" l="1"/>
  <c r="E166" i="15"/>
  <c r="B160" i="15"/>
  <c r="F6" i="11" s="1"/>
  <c r="E154" i="15"/>
  <c r="B148" i="15"/>
  <c r="B140" i="15"/>
  <c r="B128" i="15"/>
  <c r="B120" i="15"/>
  <c r="F7" i="6" s="1"/>
  <c r="D115" i="15"/>
  <c r="B108" i="15"/>
  <c r="H38" i="2" s="1"/>
  <c r="B100" i="15"/>
  <c r="E4" i="2" s="1"/>
  <c r="B92" i="15"/>
  <c r="J1" i="2" s="1"/>
  <c r="B84" i="15"/>
  <c r="B80" i="15"/>
  <c r="B7" i="7" s="1"/>
  <c r="B76" i="15"/>
  <c r="E66" i="15"/>
  <c r="B60" i="15"/>
  <c r="B52" i="15"/>
  <c r="B44" i="15"/>
  <c r="B31" i="8" s="1"/>
  <c r="B36" i="15"/>
  <c r="B23" i="8" s="1"/>
  <c r="B28" i="15"/>
  <c r="B20" i="15"/>
  <c r="F13" i="15"/>
  <c r="B9" i="15"/>
  <c r="B177" i="15" s="1"/>
  <c r="B38" i="12" s="1"/>
  <c r="B8" i="15"/>
  <c r="B176" i="15" s="1"/>
  <c r="B37" i="12" s="1"/>
  <c r="G2" i="15"/>
  <c r="F136" i="15" s="1"/>
  <c r="E34" i="12"/>
  <c r="D34" i="12"/>
  <c r="C34" i="12"/>
  <c r="D33" i="12"/>
  <c r="E33" i="12" s="1"/>
  <c r="C33" i="12"/>
  <c r="D32" i="12"/>
  <c r="E32" i="12" s="1"/>
  <c r="C32" i="12"/>
  <c r="D31" i="12"/>
  <c r="E31" i="12" s="1"/>
  <c r="C31" i="12"/>
  <c r="B31" i="12"/>
  <c r="E30" i="12"/>
  <c r="D30" i="12"/>
  <c r="C30" i="12"/>
  <c r="D29" i="12"/>
  <c r="E29" i="12" s="1"/>
  <c r="C29" i="12"/>
  <c r="D28" i="12"/>
  <c r="E28" i="12" s="1"/>
  <c r="C28" i="12"/>
  <c r="D27" i="12"/>
  <c r="E27" i="12" s="1"/>
  <c r="C27" i="12"/>
  <c r="E26" i="12"/>
  <c r="D26" i="12"/>
  <c r="C26" i="12"/>
  <c r="D25" i="12"/>
  <c r="E25" i="12" s="1"/>
  <c r="C25" i="12"/>
  <c r="D24" i="12"/>
  <c r="E24" i="12" s="1"/>
  <c r="C24" i="12"/>
  <c r="D23" i="12"/>
  <c r="C23" i="12"/>
  <c r="E22" i="12"/>
  <c r="D22" i="12"/>
  <c r="C22" i="12"/>
  <c r="E21" i="12"/>
  <c r="D21" i="12"/>
  <c r="C21" i="12"/>
  <c r="E20" i="12"/>
  <c r="D20" i="12"/>
  <c r="C20" i="12"/>
  <c r="D19" i="12"/>
  <c r="E19" i="12" s="1"/>
  <c r="C19" i="12"/>
  <c r="D18" i="12"/>
  <c r="C18" i="12"/>
  <c r="E18" i="12" s="1"/>
  <c r="D17" i="12"/>
  <c r="E17" i="12" s="1"/>
  <c r="C17" i="12"/>
  <c r="D16" i="12"/>
  <c r="E16" i="12" s="1"/>
  <c r="C16" i="12"/>
  <c r="D15" i="12"/>
  <c r="E15" i="12" s="1"/>
  <c r="C15" i="12"/>
  <c r="E14" i="12"/>
  <c r="D14" i="12"/>
  <c r="C14" i="12"/>
  <c r="D13" i="12"/>
  <c r="E13" i="12" s="1"/>
  <c r="C13" i="12"/>
  <c r="D12" i="12"/>
  <c r="C12" i="12"/>
  <c r="D11" i="12"/>
  <c r="C11" i="12"/>
  <c r="E10" i="12"/>
  <c r="D10" i="12"/>
  <c r="C10" i="12"/>
  <c r="D9" i="12"/>
  <c r="C9" i="12"/>
  <c r="B8" i="12"/>
  <c r="H7" i="12"/>
  <c r="B8" i="11"/>
  <c r="D34" i="10"/>
  <c r="C34" i="10"/>
  <c r="C33" i="10"/>
  <c r="E32" i="10"/>
  <c r="D32" i="10"/>
  <c r="C32" i="10"/>
  <c r="C31" i="10"/>
  <c r="B31" i="10"/>
  <c r="C30" i="10"/>
  <c r="E29" i="10"/>
  <c r="C29" i="10"/>
  <c r="C28" i="10"/>
  <c r="E27" i="10"/>
  <c r="C27" i="10"/>
  <c r="C26" i="10"/>
  <c r="C25" i="10"/>
  <c r="E24" i="10"/>
  <c r="C24" i="10"/>
  <c r="C23" i="10"/>
  <c r="C22" i="10"/>
  <c r="C21" i="10"/>
  <c r="C20" i="10"/>
  <c r="C19" i="10"/>
  <c r="D18" i="10"/>
  <c r="C18" i="10"/>
  <c r="C17" i="10"/>
  <c r="D16" i="10"/>
  <c r="C16" i="10"/>
  <c r="C15" i="10"/>
  <c r="C14" i="10"/>
  <c r="C13" i="10"/>
  <c r="C12" i="10"/>
  <c r="E11" i="10"/>
  <c r="C11" i="10"/>
  <c r="C10" i="10"/>
  <c r="C9" i="10"/>
  <c r="B8" i="10"/>
  <c r="I6" i="10"/>
  <c r="M4" i="10"/>
  <c r="K35" i="8"/>
  <c r="G35" i="8"/>
  <c r="J34" i="8"/>
  <c r="L34" i="8" s="1"/>
  <c r="E34" i="10" s="1"/>
  <c r="F34" i="8"/>
  <c r="H34" i="8" s="1"/>
  <c r="L33" i="8"/>
  <c r="E33" i="10" s="1"/>
  <c r="J33" i="8"/>
  <c r="F33" i="8"/>
  <c r="H33" i="8" s="1"/>
  <c r="D33" i="10" s="1"/>
  <c r="J32" i="8"/>
  <c r="L32" i="8" s="1"/>
  <c r="F32" i="8"/>
  <c r="H32" i="8" s="1"/>
  <c r="L31" i="8"/>
  <c r="E31" i="10" s="1"/>
  <c r="J31" i="8"/>
  <c r="H31" i="8"/>
  <c r="D31" i="10" s="1"/>
  <c r="F31" i="8"/>
  <c r="L30" i="8"/>
  <c r="E30" i="10" s="1"/>
  <c r="J30" i="8"/>
  <c r="F30" i="8"/>
  <c r="H30" i="8" s="1"/>
  <c r="D30" i="10" s="1"/>
  <c r="L29" i="8"/>
  <c r="J29" i="8"/>
  <c r="F29" i="8"/>
  <c r="H29" i="8" s="1"/>
  <c r="D29" i="10" s="1"/>
  <c r="J28" i="8"/>
  <c r="L28" i="8" s="1"/>
  <c r="E28" i="10" s="1"/>
  <c r="F28" i="8"/>
  <c r="H28" i="8" s="1"/>
  <c r="D28" i="10" s="1"/>
  <c r="J27" i="8"/>
  <c r="L27" i="8" s="1"/>
  <c r="F27" i="8"/>
  <c r="H27" i="8" s="1"/>
  <c r="D27" i="10" s="1"/>
  <c r="L26" i="8"/>
  <c r="E26" i="10" s="1"/>
  <c r="J26" i="8"/>
  <c r="H26" i="8"/>
  <c r="D26" i="10" s="1"/>
  <c r="F26" i="8"/>
  <c r="J25" i="8"/>
  <c r="L25" i="8" s="1"/>
  <c r="E25" i="10" s="1"/>
  <c r="F25" i="8"/>
  <c r="H25" i="8" s="1"/>
  <c r="D25" i="10" s="1"/>
  <c r="L24" i="8"/>
  <c r="J24" i="8"/>
  <c r="H24" i="8"/>
  <c r="D24" i="10" s="1"/>
  <c r="F24" i="8"/>
  <c r="J23" i="8"/>
  <c r="L23" i="8" s="1"/>
  <c r="E23" i="10" s="1"/>
  <c r="H23" i="8"/>
  <c r="D23" i="10" s="1"/>
  <c r="F23" i="8"/>
  <c r="J22" i="8"/>
  <c r="L22" i="8" s="1"/>
  <c r="E22" i="10" s="1"/>
  <c r="H22" i="8"/>
  <c r="D22" i="10" s="1"/>
  <c r="F22" i="8"/>
  <c r="J21" i="8"/>
  <c r="L21" i="8" s="1"/>
  <c r="E21" i="10" s="1"/>
  <c r="F21" i="8"/>
  <c r="H21" i="8" s="1"/>
  <c r="D21" i="10" s="1"/>
  <c r="L20" i="8"/>
  <c r="E20" i="10" s="1"/>
  <c r="J20" i="8"/>
  <c r="F20" i="8"/>
  <c r="H20" i="8" s="1"/>
  <c r="D20" i="10" s="1"/>
  <c r="J19" i="8"/>
  <c r="L19" i="8" s="1"/>
  <c r="E19" i="10" s="1"/>
  <c r="F19" i="8"/>
  <c r="H19" i="8" s="1"/>
  <c r="D19" i="10" s="1"/>
  <c r="J18" i="8"/>
  <c r="L18" i="8" s="1"/>
  <c r="E18" i="10" s="1"/>
  <c r="H18" i="8"/>
  <c r="F18" i="8"/>
  <c r="L17" i="8"/>
  <c r="E17" i="10" s="1"/>
  <c r="J17" i="8"/>
  <c r="F17" i="8"/>
  <c r="H17" i="8" s="1"/>
  <c r="D17" i="10" s="1"/>
  <c r="L16" i="8"/>
  <c r="E16" i="10" s="1"/>
  <c r="J16" i="8"/>
  <c r="F16" i="8"/>
  <c r="H16" i="8" s="1"/>
  <c r="J15" i="8"/>
  <c r="L15" i="8" s="1"/>
  <c r="E15" i="10" s="1"/>
  <c r="F15" i="8"/>
  <c r="H15" i="8" s="1"/>
  <c r="D15" i="10" s="1"/>
  <c r="L14" i="8"/>
  <c r="E14" i="10" s="1"/>
  <c r="J14" i="8"/>
  <c r="H14" i="8"/>
  <c r="D14" i="10" s="1"/>
  <c r="F14" i="8"/>
  <c r="J13" i="8"/>
  <c r="L13" i="8" s="1"/>
  <c r="E13" i="10" s="1"/>
  <c r="F13" i="8"/>
  <c r="H13" i="8" s="1"/>
  <c r="D13" i="10" s="1"/>
  <c r="L12" i="8"/>
  <c r="E12" i="10" s="1"/>
  <c r="J12" i="8"/>
  <c r="H12" i="8"/>
  <c r="D12" i="10" s="1"/>
  <c r="F12" i="8"/>
  <c r="J11" i="8"/>
  <c r="L11" i="8" s="1"/>
  <c r="F11" i="8"/>
  <c r="H11" i="8" s="1"/>
  <c r="D11" i="10" s="1"/>
  <c r="J10" i="8"/>
  <c r="L10" i="8" s="1"/>
  <c r="E10" i="10" s="1"/>
  <c r="H10" i="8"/>
  <c r="D10" i="10" s="1"/>
  <c r="F10" i="8"/>
  <c r="J9" i="8"/>
  <c r="F9" i="8"/>
  <c r="B8" i="8"/>
  <c r="J7" i="8"/>
  <c r="F7" i="8"/>
  <c r="F1" i="8"/>
  <c r="B31" i="6"/>
  <c r="K67" i="2"/>
  <c r="C67" i="2"/>
  <c r="L66" i="2"/>
  <c r="M66" i="2" s="1"/>
  <c r="E66" i="2"/>
  <c r="D66" i="2"/>
  <c r="L65" i="2"/>
  <c r="M65" i="2" s="1"/>
  <c r="D65" i="2"/>
  <c r="E65" i="2" s="1"/>
  <c r="L64" i="2"/>
  <c r="M64" i="2" s="1"/>
  <c r="D64" i="2"/>
  <c r="E64" i="2" s="1"/>
  <c r="L63" i="2"/>
  <c r="M63" i="2" s="1"/>
  <c r="D63" i="2"/>
  <c r="E63" i="2" s="1"/>
  <c r="B63" i="2"/>
  <c r="L62" i="2"/>
  <c r="M62" i="2" s="1"/>
  <c r="D62" i="2"/>
  <c r="E62" i="2" s="1"/>
  <c r="L61" i="2"/>
  <c r="M61" i="2" s="1"/>
  <c r="D61" i="2"/>
  <c r="E61" i="2" s="1"/>
  <c r="L60" i="2"/>
  <c r="M60" i="2" s="1"/>
  <c r="E60" i="2"/>
  <c r="D60" i="2"/>
  <c r="L59" i="2"/>
  <c r="M59" i="2" s="1"/>
  <c r="E59" i="2"/>
  <c r="D59" i="2"/>
  <c r="L58" i="2"/>
  <c r="M58" i="2" s="1"/>
  <c r="D58" i="2"/>
  <c r="E58" i="2" s="1"/>
  <c r="L57" i="2"/>
  <c r="M57" i="2" s="1"/>
  <c r="D57" i="2"/>
  <c r="E57" i="2" s="1"/>
  <c r="L56" i="2"/>
  <c r="M56" i="2" s="1"/>
  <c r="D56" i="2"/>
  <c r="E56" i="2" s="1"/>
  <c r="L55" i="2"/>
  <c r="M55" i="2" s="1"/>
  <c r="E55" i="2"/>
  <c r="D55" i="2"/>
  <c r="B55" i="2"/>
  <c r="L54" i="2"/>
  <c r="M54" i="2" s="1"/>
  <c r="D54" i="2"/>
  <c r="E54" i="2" s="1"/>
  <c r="L53" i="2"/>
  <c r="M53" i="2" s="1"/>
  <c r="E53" i="2"/>
  <c r="D53" i="2"/>
  <c r="L52" i="2"/>
  <c r="M52" i="2" s="1"/>
  <c r="E52" i="2"/>
  <c r="D52" i="2"/>
  <c r="L51" i="2"/>
  <c r="M51" i="2" s="1"/>
  <c r="D51" i="2"/>
  <c r="E51" i="2" s="1"/>
  <c r="L50" i="2"/>
  <c r="M50" i="2" s="1"/>
  <c r="D50" i="2"/>
  <c r="E50" i="2" s="1"/>
  <c r="L49" i="2"/>
  <c r="M49" i="2" s="1"/>
  <c r="D49" i="2"/>
  <c r="E49" i="2" s="1"/>
  <c r="L48" i="2"/>
  <c r="M48" i="2" s="1"/>
  <c r="E48" i="2"/>
  <c r="D48" i="2"/>
  <c r="L47" i="2"/>
  <c r="M47" i="2" s="1"/>
  <c r="D47" i="2"/>
  <c r="E47" i="2" s="1"/>
  <c r="L46" i="2"/>
  <c r="M46" i="2" s="1"/>
  <c r="D46" i="2"/>
  <c r="E46" i="2" s="1"/>
  <c r="L45" i="2"/>
  <c r="M45" i="2" s="1"/>
  <c r="E45" i="2"/>
  <c r="D45" i="2"/>
  <c r="L44" i="2"/>
  <c r="M44" i="2" s="1"/>
  <c r="E44" i="2"/>
  <c r="D44" i="2"/>
  <c r="L43" i="2"/>
  <c r="M43" i="2" s="1"/>
  <c r="D43" i="2"/>
  <c r="E43" i="2" s="1"/>
  <c r="L42" i="2"/>
  <c r="M42" i="2" s="1"/>
  <c r="D42" i="2"/>
  <c r="E42" i="2" s="1"/>
  <c r="L41" i="2"/>
  <c r="D41" i="2"/>
  <c r="E41" i="2" s="1"/>
  <c r="J40" i="2"/>
  <c r="B40" i="2"/>
  <c r="L39" i="2"/>
  <c r="D39" i="2"/>
  <c r="E38" i="2"/>
  <c r="N33" i="2"/>
  <c r="M33" i="2"/>
  <c r="K33" i="2"/>
  <c r="F33" i="2"/>
  <c r="D33" i="2"/>
  <c r="E33" i="2" s="1"/>
  <c r="C33" i="2"/>
  <c r="O32" i="2"/>
  <c r="N32" i="2"/>
  <c r="M32" i="2"/>
  <c r="F32" i="2"/>
  <c r="G32" i="2" s="1"/>
  <c r="E32" i="2"/>
  <c r="N31" i="2"/>
  <c r="O31" i="2" s="1"/>
  <c r="M31" i="2"/>
  <c r="F31" i="2"/>
  <c r="G31" i="2" s="1"/>
  <c r="E31" i="2"/>
  <c r="O30" i="2"/>
  <c r="N30" i="2"/>
  <c r="M30" i="2"/>
  <c r="F30" i="2"/>
  <c r="G30" i="2" s="1"/>
  <c r="E30" i="2"/>
  <c r="O29" i="2"/>
  <c r="N29" i="2"/>
  <c r="M29" i="2"/>
  <c r="J29" i="2"/>
  <c r="E29" i="2"/>
  <c r="O28" i="2"/>
  <c r="N28" i="2"/>
  <c r="M28" i="2"/>
  <c r="E28" i="2"/>
  <c r="F28" i="2" s="1"/>
  <c r="G28" i="2" s="1"/>
  <c r="N27" i="2"/>
  <c r="O27" i="2" s="1"/>
  <c r="M27" i="2"/>
  <c r="E27" i="2"/>
  <c r="O26" i="2"/>
  <c r="N26" i="2"/>
  <c r="M26" i="2"/>
  <c r="E26" i="2"/>
  <c r="F26" i="2" s="1"/>
  <c r="G26" i="2" s="1"/>
  <c r="N25" i="2"/>
  <c r="O25" i="2" s="1"/>
  <c r="M25" i="2"/>
  <c r="F25" i="2"/>
  <c r="G25" i="2" s="1"/>
  <c r="E25" i="2"/>
  <c r="O24" i="2"/>
  <c r="N24" i="2"/>
  <c r="M24" i="2"/>
  <c r="F24" i="2"/>
  <c r="G24" i="2" s="1"/>
  <c r="E24" i="2"/>
  <c r="N23" i="2"/>
  <c r="O23" i="2" s="1"/>
  <c r="M23" i="2"/>
  <c r="F23" i="2"/>
  <c r="G23" i="2" s="1"/>
  <c r="E23" i="2"/>
  <c r="O22" i="2"/>
  <c r="N22" i="2"/>
  <c r="M22" i="2"/>
  <c r="E22" i="2"/>
  <c r="F22" i="2" s="1"/>
  <c r="G22" i="2" s="1"/>
  <c r="O21" i="2"/>
  <c r="N21" i="2"/>
  <c r="M21" i="2"/>
  <c r="E21" i="2"/>
  <c r="O20" i="2"/>
  <c r="N20" i="2"/>
  <c r="M20" i="2"/>
  <c r="E20" i="2"/>
  <c r="F20" i="2" s="1"/>
  <c r="G20" i="2" s="1"/>
  <c r="N19" i="2"/>
  <c r="O19" i="2" s="1"/>
  <c r="M19" i="2"/>
  <c r="F19" i="2"/>
  <c r="G19" i="2" s="1"/>
  <c r="E19" i="2"/>
  <c r="O18" i="2"/>
  <c r="N18" i="2"/>
  <c r="M18" i="2"/>
  <c r="F18" i="2"/>
  <c r="G18" i="2" s="1"/>
  <c r="E18" i="2"/>
  <c r="N17" i="2"/>
  <c r="O17" i="2" s="1"/>
  <c r="M17" i="2"/>
  <c r="F17" i="2"/>
  <c r="G17" i="2" s="1"/>
  <c r="E17" i="2"/>
  <c r="O16" i="2"/>
  <c r="N16" i="2"/>
  <c r="M16" i="2"/>
  <c r="E16" i="2"/>
  <c r="F16" i="2" s="1"/>
  <c r="G16" i="2" s="1"/>
  <c r="O15" i="2"/>
  <c r="N15" i="2"/>
  <c r="M15" i="2"/>
  <c r="E15" i="2"/>
  <c r="O14" i="2"/>
  <c r="N14" i="2"/>
  <c r="M14" i="2"/>
  <c r="E14" i="2"/>
  <c r="F14" i="2" s="1"/>
  <c r="G14" i="2" s="1"/>
  <c r="N13" i="2"/>
  <c r="O13" i="2" s="1"/>
  <c r="M13" i="2"/>
  <c r="E13" i="2"/>
  <c r="B13" i="2"/>
  <c r="O12" i="2"/>
  <c r="N12" i="2"/>
  <c r="M12" i="2"/>
  <c r="E12" i="2"/>
  <c r="F12" i="2" s="1"/>
  <c r="G12" i="2" s="1"/>
  <c r="N11" i="2"/>
  <c r="O11" i="2" s="1"/>
  <c r="M11" i="2"/>
  <c r="F11" i="2"/>
  <c r="G11" i="2" s="1"/>
  <c r="E11" i="2"/>
  <c r="O10" i="2"/>
  <c r="N10" i="2"/>
  <c r="M10" i="2"/>
  <c r="F10" i="2"/>
  <c r="G10" i="2" s="1"/>
  <c r="E10" i="2"/>
  <c r="N9" i="2"/>
  <c r="O9" i="2" s="1"/>
  <c r="M9" i="2"/>
  <c r="F9" i="2"/>
  <c r="G9" i="2" s="1"/>
  <c r="E9" i="2"/>
  <c r="O8" i="2"/>
  <c r="N8" i="2"/>
  <c r="M8" i="2"/>
  <c r="E8" i="2"/>
  <c r="F8" i="2" s="1"/>
  <c r="G8" i="2" s="1"/>
  <c r="O7" i="2"/>
  <c r="N7" i="2"/>
  <c r="M7" i="2"/>
  <c r="E7" i="2"/>
  <c r="J6" i="2"/>
  <c r="B6" i="2"/>
  <c r="M4" i="2"/>
  <c r="I11" i="7"/>
  <c r="H11" i="7"/>
  <c r="G11" i="7"/>
  <c r="F11" i="7"/>
  <c r="E11" i="7"/>
  <c r="G10" i="7"/>
  <c r="I8" i="7"/>
  <c r="K7" i="7"/>
  <c r="I6" i="7"/>
  <c r="E6" i="7"/>
  <c r="I5" i="7"/>
  <c r="E5" i="7"/>
  <c r="K5" i="7" s="1"/>
  <c r="K4" i="7"/>
  <c r="K3" i="7"/>
  <c r="B15" i="1"/>
  <c r="C24" i="14"/>
  <c r="B21" i="2" l="1"/>
  <c r="B23" i="1"/>
  <c r="M38" i="2"/>
  <c r="B23" i="10"/>
  <c r="B23" i="12"/>
  <c r="B31" i="1"/>
  <c r="J21" i="2"/>
  <c r="B29" i="2"/>
  <c r="J55" i="2"/>
  <c r="J63" i="2"/>
  <c r="B23" i="6"/>
  <c r="N44" i="2"/>
  <c r="O44" i="2" s="1"/>
  <c r="N59" i="2"/>
  <c r="O59" i="2" s="1"/>
  <c r="N52" i="2"/>
  <c r="O52" i="2" s="1"/>
  <c r="E8" i="7"/>
  <c r="K6" i="7"/>
  <c r="K8" i="7" s="1"/>
  <c r="J11" i="7"/>
  <c r="J12" i="7" s="1"/>
  <c r="I12" i="7"/>
  <c r="M41" i="2"/>
  <c r="L67" i="2"/>
  <c r="M67" i="2" s="1"/>
  <c r="N56" i="2"/>
  <c r="O56" i="2" s="1"/>
  <c r="D67" i="2"/>
  <c r="E67" i="2" s="1"/>
  <c r="N42" i="2"/>
  <c r="O42" i="2" s="1"/>
  <c r="N57" i="2"/>
  <c r="O57" i="2" s="1"/>
  <c r="E11" i="12"/>
  <c r="O33" i="2"/>
  <c r="N46" i="2"/>
  <c r="O46" i="2" s="1"/>
  <c r="N61" i="2"/>
  <c r="O61" i="2" s="1"/>
  <c r="F35" i="8"/>
  <c r="H35" i="8" s="1"/>
  <c r="H9" i="8"/>
  <c r="D9" i="10" s="1"/>
  <c r="F34" i="10"/>
  <c r="I34" i="10" s="1"/>
  <c r="L9" i="8"/>
  <c r="E9" i="10" s="1"/>
  <c r="J35" i="8"/>
  <c r="L35" i="8" s="1"/>
  <c r="B15" i="12"/>
  <c r="B15" i="8"/>
  <c r="B47" i="2"/>
  <c r="J13" i="2"/>
  <c r="B15" i="10"/>
  <c r="B15" i="6"/>
  <c r="J47" i="2"/>
  <c r="M6" i="2"/>
  <c r="L6" i="2"/>
  <c r="F13" i="2"/>
  <c r="G13" i="2" s="1"/>
  <c r="F29" i="2"/>
  <c r="G29" i="2" s="1"/>
  <c r="F15" i="2"/>
  <c r="G15" i="2" s="1"/>
  <c r="F7" i="2"/>
  <c r="G7" i="2" s="1"/>
  <c r="F27" i="2"/>
  <c r="G27" i="2" s="1"/>
  <c r="F21" i="2"/>
  <c r="G21" i="2" s="1"/>
  <c r="E12" i="12"/>
  <c r="C38" i="10"/>
  <c r="F31" i="10" s="1"/>
  <c r="I31" i="10" s="1"/>
  <c r="F15" i="10"/>
  <c r="I15" i="10" s="1"/>
  <c r="C37" i="10"/>
  <c r="F29" i="10" s="1"/>
  <c r="I29" i="10" s="1"/>
  <c r="F26" i="10"/>
  <c r="I26" i="10" s="1"/>
  <c r="F24" i="10"/>
  <c r="I24" i="10" s="1"/>
  <c r="E9" i="12"/>
  <c r="E23" i="12"/>
  <c r="F22" i="10"/>
  <c r="I22" i="10" s="1"/>
  <c r="C35" i="12"/>
  <c r="E13" i="15"/>
  <c r="B19" i="15"/>
  <c r="C23" i="14" s="1"/>
  <c r="B27" i="15"/>
  <c r="B35" i="15"/>
  <c r="B43" i="15"/>
  <c r="B51" i="15"/>
  <c r="B59" i="15"/>
  <c r="D66" i="15"/>
  <c r="B66" i="15" s="1"/>
  <c r="B3" i="1" s="1"/>
  <c r="B71" i="15"/>
  <c r="B36" i="1" s="1"/>
  <c r="B75" i="15"/>
  <c r="I3" i="7" s="1"/>
  <c r="B79" i="15"/>
  <c r="B6" i="7" s="1"/>
  <c r="B83" i="15"/>
  <c r="F10" i="7" s="1"/>
  <c r="B91" i="15"/>
  <c r="H1" i="2" s="1"/>
  <c r="B99" i="15"/>
  <c r="B107" i="15"/>
  <c r="C38" i="2" s="1"/>
  <c r="B115" i="15"/>
  <c r="B1" i="6" s="1"/>
  <c r="B119" i="15"/>
  <c r="E7" i="6" s="1"/>
  <c r="B127" i="15"/>
  <c r="D3" i="8" s="1"/>
  <c r="B135" i="15"/>
  <c r="K6" i="8" s="1"/>
  <c r="B139" i="15"/>
  <c r="F6" i="10" s="1"/>
  <c r="B147" i="15"/>
  <c r="O7" i="10" s="1"/>
  <c r="D154" i="15"/>
  <c r="B154" i="15" s="1"/>
  <c r="B1" i="11" s="1"/>
  <c r="B159" i="15"/>
  <c r="E6" i="11" s="1"/>
  <c r="D166" i="15"/>
  <c r="B171" i="15"/>
  <c r="G7" i="12" s="1"/>
  <c r="B11" i="15"/>
  <c r="E2" i="14" s="1"/>
  <c r="B15" i="15"/>
  <c r="C19" i="14" s="1"/>
  <c r="B23" i="15"/>
  <c r="B31" i="15"/>
  <c r="B39" i="15"/>
  <c r="B47" i="15"/>
  <c r="B55" i="15"/>
  <c r="B63" i="15"/>
  <c r="C50" i="14" s="1"/>
  <c r="B67" i="15"/>
  <c r="B7" i="1" s="1"/>
  <c r="F72" i="15"/>
  <c r="E77" i="15"/>
  <c r="E81" i="15"/>
  <c r="B87" i="15"/>
  <c r="J10" i="7" s="1"/>
  <c r="B95" i="15"/>
  <c r="H35" i="2" s="1"/>
  <c r="B103" i="15"/>
  <c r="H4" i="2" s="1"/>
  <c r="B111" i="15"/>
  <c r="G115" i="15"/>
  <c r="B123" i="15"/>
  <c r="E8" i="6" s="1"/>
  <c r="B131" i="15"/>
  <c r="J3" i="8" s="1"/>
  <c r="B143" i="15"/>
  <c r="B151" i="15"/>
  <c r="B37" i="10" s="1"/>
  <c r="B155" i="15"/>
  <c r="B2" i="11" s="1"/>
  <c r="B163" i="15"/>
  <c r="I6" i="11" s="1"/>
  <c r="B167" i="15"/>
  <c r="C7" i="12" s="1"/>
  <c r="B175" i="15"/>
  <c r="H6" i="12" s="1"/>
  <c r="F166" i="15"/>
  <c r="F154" i="15"/>
  <c r="D136" i="15"/>
  <c r="B136" i="15" s="1"/>
  <c r="B1" i="10" s="1"/>
  <c r="E115" i="15"/>
  <c r="G81" i="15"/>
  <c r="G77" i="15"/>
  <c r="D72" i="15"/>
  <c r="B72" i="15" s="1"/>
  <c r="B1" i="7" s="1"/>
  <c r="F66" i="15"/>
  <c r="G13" i="15"/>
  <c r="G166" i="15"/>
  <c r="G154" i="15"/>
  <c r="E136" i="15"/>
  <c r="F115" i="15"/>
  <c r="D81" i="15"/>
  <c r="D77" i="15"/>
  <c r="B77" i="15" s="1"/>
  <c r="B4" i="7" s="1"/>
  <c r="E72" i="15"/>
  <c r="G66" i="15"/>
  <c r="D13" i="15"/>
  <c r="B12" i="15"/>
  <c r="B13" i="14" s="1"/>
  <c r="B16" i="15"/>
  <c r="C20" i="14" s="1"/>
  <c r="B24" i="15"/>
  <c r="B32" i="15"/>
  <c r="B40" i="15"/>
  <c r="B48" i="15"/>
  <c r="B56" i="15"/>
  <c r="B64" i="15"/>
  <c r="C51" i="14" s="1"/>
  <c r="B68" i="15"/>
  <c r="C8" i="1" s="1"/>
  <c r="G72" i="15"/>
  <c r="F77" i="15"/>
  <c r="F81" i="15"/>
  <c r="B88" i="15"/>
  <c r="B10" i="7" s="1"/>
  <c r="B96" i="15"/>
  <c r="J35" i="2" s="1"/>
  <c r="B104" i="15"/>
  <c r="K4" i="2" s="1"/>
  <c r="B112" i="15"/>
  <c r="B116" i="15"/>
  <c r="B6" i="6" s="1"/>
  <c r="B124" i="15"/>
  <c r="F8" i="6" s="1"/>
  <c r="B132" i="15"/>
  <c r="G136" i="15"/>
  <c r="B144" i="15"/>
  <c r="L7" i="10" s="1"/>
  <c r="B152" i="15"/>
  <c r="B38" i="10" s="1"/>
  <c r="B156" i="15"/>
  <c r="B6" i="11" s="1"/>
  <c r="B164" i="15"/>
  <c r="J6" i="11" s="1"/>
  <c r="B168" i="15"/>
  <c r="D7" i="12" s="1"/>
  <c r="B10" i="15"/>
  <c r="E1" i="14" s="1"/>
  <c r="B14" i="15"/>
  <c r="C17" i="14" s="1"/>
  <c r="B18" i="15"/>
  <c r="C22" i="14" s="1"/>
  <c r="B22" i="15"/>
  <c r="B26" i="15"/>
  <c r="B30" i="15"/>
  <c r="B34" i="15"/>
  <c r="B38" i="15"/>
  <c r="B42" i="15"/>
  <c r="B46" i="15"/>
  <c r="B50" i="15"/>
  <c r="B54" i="15"/>
  <c r="B58" i="15"/>
  <c r="B62" i="15"/>
  <c r="C49" i="14" s="1"/>
  <c r="B70" i="15"/>
  <c r="E8" i="1" s="1"/>
  <c r="B74" i="15"/>
  <c r="E3" i="7" s="1"/>
  <c r="B78" i="15"/>
  <c r="B5" i="7" s="1"/>
  <c r="B82" i="15"/>
  <c r="E10" i="7" s="1"/>
  <c r="B86" i="15"/>
  <c r="I10" i="7" s="1"/>
  <c r="B90" i="15"/>
  <c r="B1" i="2" s="1"/>
  <c r="B94" i="15"/>
  <c r="B35" i="2" s="1"/>
  <c r="B98" i="15"/>
  <c r="C4" i="2" s="1"/>
  <c r="B102" i="15"/>
  <c r="B106" i="15"/>
  <c r="P4" i="2" s="1"/>
  <c r="B110" i="15"/>
  <c r="P38" i="2" s="1"/>
  <c r="B114" i="15"/>
  <c r="B118" i="15"/>
  <c r="D7" i="6" s="1"/>
  <c r="B122" i="15"/>
  <c r="D8" i="6" s="1"/>
  <c r="B126" i="15"/>
  <c r="D1" i="8" s="1"/>
  <c r="B130" i="15"/>
  <c r="J1" i="8" s="1"/>
  <c r="B134" i="15"/>
  <c r="G6" i="8" s="1"/>
  <c r="B138" i="15"/>
  <c r="C6" i="10" s="1"/>
  <c r="B142" i="15"/>
  <c r="B146" i="15"/>
  <c r="N7" i="10" s="1"/>
  <c r="B150" i="15"/>
  <c r="O4" i="10" s="1"/>
  <c r="B158" i="15"/>
  <c r="D6" i="11" s="1"/>
  <c r="B162" i="15"/>
  <c r="H6" i="11" s="1"/>
  <c r="B166" i="15"/>
  <c r="B1" i="12" s="1"/>
  <c r="B170" i="15"/>
  <c r="F7" i="12" s="1"/>
  <c r="B174" i="15"/>
  <c r="G6" i="12" s="1"/>
  <c r="B13" i="15"/>
  <c r="B14" i="14" s="1"/>
  <c r="B17" i="15"/>
  <c r="C21" i="14" s="1"/>
  <c r="B21" i="15"/>
  <c r="C25" i="14" s="1"/>
  <c r="B25" i="15"/>
  <c r="B29" i="15"/>
  <c r="B33" i="15"/>
  <c r="B37" i="15"/>
  <c r="B41" i="15"/>
  <c r="B45" i="15"/>
  <c r="B49" i="15"/>
  <c r="B53" i="15"/>
  <c r="B3" i="8" s="1"/>
  <c r="B57" i="15"/>
  <c r="B61" i="15"/>
  <c r="F8" i="1" s="1"/>
  <c r="B65" i="15"/>
  <c r="B2" i="1" s="1"/>
  <c r="B69" i="15"/>
  <c r="D8" i="1" s="1"/>
  <c r="B73" i="15"/>
  <c r="B3" i="7" s="1"/>
  <c r="B81" i="15"/>
  <c r="B85" i="15"/>
  <c r="H10" i="7" s="1"/>
  <c r="B89" i="15"/>
  <c r="B11" i="7" s="1"/>
  <c r="B93" i="15"/>
  <c r="P1" i="2" s="1"/>
  <c r="B97" i="15"/>
  <c r="P35" i="2" s="1"/>
  <c r="B101" i="15"/>
  <c r="B105" i="15"/>
  <c r="L4" i="2" s="1"/>
  <c r="B109" i="15"/>
  <c r="K38" i="2" s="1"/>
  <c r="B113" i="15"/>
  <c r="B117" i="15"/>
  <c r="C7" i="6" s="1"/>
  <c r="B121" i="15"/>
  <c r="C8" i="6" s="1"/>
  <c r="B125" i="15"/>
  <c r="G7" i="6" s="1"/>
  <c r="B129" i="15"/>
  <c r="F3" i="8" s="1"/>
  <c r="B133" i="15"/>
  <c r="B137" i="15"/>
  <c r="B5" i="10" s="1"/>
  <c r="B141" i="15"/>
  <c r="B145" i="15"/>
  <c r="M7" i="10" s="1"/>
  <c r="B149" i="15"/>
  <c r="N4" i="10" s="1"/>
  <c r="B153" i="15"/>
  <c r="B39" i="10" s="1"/>
  <c r="B157" i="15"/>
  <c r="C6" i="11" s="1"/>
  <c r="B161" i="15"/>
  <c r="G6" i="11" s="1"/>
  <c r="B165" i="15"/>
  <c r="K6" i="11" s="1"/>
  <c r="B169" i="15"/>
  <c r="E7" i="12" s="1"/>
  <c r="B173" i="15"/>
  <c r="F6" i="12" s="1"/>
  <c r="B4" i="11" l="1"/>
  <c r="B5" i="12"/>
  <c r="B36" i="2"/>
  <c r="B3" i="10"/>
  <c r="B4" i="8"/>
  <c r="J36" i="2"/>
  <c r="B2" i="2"/>
  <c r="J2" i="2"/>
  <c r="B20" i="12"/>
  <c r="B20" i="10"/>
  <c r="B52" i="2"/>
  <c r="J52" i="2"/>
  <c r="J18" i="2"/>
  <c r="B18" i="2"/>
  <c r="B20" i="1"/>
  <c r="B20" i="8"/>
  <c r="B20" i="6"/>
  <c r="B10" i="10"/>
  <c r="B10" i="12"/>
  <c r="B42" i="2"/>
  <c r="B10" i="8"/>
  <c r="J8" i="2"/>
  <c r="B10" i="1"/>
  <c r="B10" i="6"/>
  <c r="J42" i="2"/>
  <c r="B8" i="2"/>
  <c r="B41" i="2"/>
  <c r="J7" i="2"/>
  <c r="B9" i="10"/>
  <c r="B9" i="8"/>
  <c r="B9" i="6"/>
  <c r="B9" i="1"/>
  <c r="J41" i="2"/>
  <c r="B9" i="12"/>
  <c r="B7" i="2"/>
  <c r="B27" i="12"/>
  <c r="B27" i="10"/>
  <c r="B27" i="8"/>
  <c r="B59" i="2"/>
  <c r="J25" i="2"/>
  <c r="J59" i="2"/>
  <c r="B25" i="2"/>
  <c r="B27" i="1"/>
  <c r="B27" i="6"/>
  <c r="N37" i="2"/>
  <c r="N3" i="2"/>
  <c r="B12" i="7"/>
  <c r="B8" i="7"/>
  <c r="F67" i="2"/>
  <c r="F62" i="2"/>
  <c r="G62" i="2" s="1"/>
  <c r="F47" i="2"/>
  <c r="G47" i="2" s="1"/>
  <c r="F66" i="2"/>
  <c r="G66" i="2" s="1"/>
  <c r="F59" i="2"/>
  <c r="G59" i="2" s="1"/>
  <c r="F52" i="2"/>
  <c r="G52" i="2" s="1"/>
  <c r="F44" i="2"/>
  <c r="G44" i="2" s="1"/>
  <c r="F43" i="2"/>
  <c r="G43" i="2" s="1"/>
  <c r="F58" i="2"/>
  <c r="G58" i="2" s="1"/>
  <c r="F51" i="2"/>
  <c r="G51" i="2" s="1"/>
  <c r="F45" i="2"/>
  <c r="G45" i="2" s="1"/>
  <c r="F54" i="2"/>
  <c r="G54" i="2" s="1"/>
  <c r="F46" i="2"/>
  <c r="G46" i="2" s="1"/>
  <c r="F65" i="2"/>
  <c r="G65" i="2" s="1"/>
  <c r="F55" i="2"/>
  <c r="G55" i="2" s="1"/>
  <c r="F60" i="2"/>
  <c r="G60" i="2" s="1"/>
  <c r="F41" i="2"/>
  <c r="G41" i="2" s="1"/>
  <c r="F48" i="2"/>
  <c r="G48" i="2" s="1"/>
  <c r="F56" i="2"/>
  <c r="G56" i="2" s="1"/>
  <c r="F49" i="2"/>
  <c r="G49" i="2" s="1"/>
  <c r="F63" i="2"/>
  <c r="G63" i="2" s="1"/>
  <c r="F53" i="2"/>
  <c r="G53" i="2" s="1"/>
  <c r="F61" i="2"/>
  <c r="G61" i="2" s="1"/>
  <c r="F42" i="2"/>
  <c r="G42" i="2" s="1"/>
  <c r="F57" i="2"/>
  <c r="G57" i="2" s="1"/>
  <c r="F50" i="2"/>
  <c r="G50" i="2" s="1"/>
  <c r="F64" i="2"/>
  <c r="G64" i="2" s="1"/>
  <c r="H8" i="12"/>
  <c r="H6" i="2"/>
  <c r="H40" i="2"/>
  <c r="P40" i="2"/>
  <c r="O8" i="10"/>
  <c r="P6" i="2"/>
  <c r="B25" i="12"/>
  <c r="B57" i="2"/>
  <c r="J23" i="2"/>
  <c r="B25" i="6"/>
  <c r="B25" i="1"/>
  <c r="B23" i="2"/>
  <c r="B25" i="10"/>
  <c r="B25" i="8"/>
  <c r="J57" i="2"/>
  <c r="G38" i="2"/>
  <c r="O38" i="2"/>
  <c r="O4" i="2"/>
  <c r="G4" i="2"/>
  <c r="L38" i="2"/>
  <c r="D4" i="2"/>
  <c r="D38" i="2"/>
  <c r="B7" i="11"/>
  <c r="B39" i="2"/>
  <c r="B7" i="8"/>
  <c r="J5" i="2"/>
  <c r="B5" i="2"/>
  <c r="J39" i="2"/>
  <c r="F12" i="12"/>
  <c r="F40" i="2"/>
  <c r="N6" i="2"/>
  <c r="F6" i="2"/>
  <c r="N40" i="2"/>
  <c r="B12" i="12"/>
  <c r="B12" i="10"/>
  <c r="B44" i="2"/>
  <c r="J10" i="2"/>
  <c r="B12" i="8"/>
  <c r="J44" i="2"/>
  <c r="B10" i="2"/>
  <c r="B12" i="1"/>
  <c r="B12" i="6"/>
  <c r="G7" i="10"/>
  <c r="J7" i="10"/>
  <c r="D7" i="10"/>
  <c r="B33" i="12"/>
  <c r="B65" i="2"/>
  <c r="J31" i="2"/>
  <c r="B33" i="10"/>
  <c r="J65" i="2"/>
  <c r="B33" i="6"/>
  <c r="B31" i="2"/>
  <c r="B33" i="1"/>
  <c r="B33" i="8"/>
  <c r="B17" i="12"/>
  <c r="B49" i="2"/>
  <c r="J15" i="2"/>
  <c r="B17" i="10"/>
  <c r="B17" i="6"/>
  <c r="B17" i="1"/>
  <c r="J49" i="2"/>
  <c r="B17" i="8"/>
  <c r="B15" i="2"/>
  <c r="B11" i="12"/>
  <c r="B11" i="8"/>
  <c r="B43" i="2"/>
  <c r="J9" i="2"/>
  <c r="B11" i="10"/>
  <c r="B9" i="2"/>
  <c r="J43" i="2"/>
  <c r="B11" i="1"/>
  <c r="B11" i="6"/>
  <c r="B26" i="12"/>
  <c r="B26" i="10"/>
  <c r="B58" i="2"/>
  <c r="J58" i="2"/>
  <c r="J24" i="2"/>
  <c r="B24" i="2"/>
  <c r="B26" i="6"/>
  <c r="B26" i="1"/>
  <c r="B26" i="8"/>
  <c r="B22" i="12"/>
  <c r="B22" i="10"/>
  <c r="B54" i="2"/>
  <c r="B22" i="8"/>
  <c r="B22" i="6"/>
  <c r="J20" i="2"/>
  <c r="B20" i="2"/>
  <c r="J54" i="2"/>
  <c r="B22" i="1"/>
  <c r="F20" i="10"/>
  <c r="I20" i="10" s="1"/>
  <c r="E38" i="10"/>
  <c r="H9" i="10" s="1"/>
  <c r="E37" i="10"/>
  <c r="P22" i="2"/>
  <c r="D24" i="6" s="1"/>
  <c r="P28" i="2"/>
  <c r="D30" i="6" s="1"/>
  <c r="P14" i="2"/>
  <c r="D16" i="6" s="1"/>
  <c r="F21" i="10"/>
  <c r="I21" i="10" s="1"/>
  <c r="N62" i="2"/>
  <c r="O62" i="2" s="1"/>
  <c r="N47" i="2"/>
  <c r="O47" i="2" s="1"/>
  <c r="N67" i="2"/>
  <c r="N65" i="2"/>
  <c r="O65" i="2" s="1"/>
  <c r="N58" i="2"/>
  <c r="O58" i="2" s="1"/>
  <c r="N55" i="2"/>
  <c r="O55" i="2" s="1"/>
  <c r="N51" i="2"/>
  <c r="O51" i="2" s="1"/>
  <c r="N48" i="2"/>
  <c r="O48" i="2" s="1"/>
  <c r="N43" i="2"/>
  <c r="O43" i="2" s="1"/>
  <c r="P29" i="2"/>
  <c r="D31" i="6" s="1"/>
  <c r="N66" i="2"/>
  <c r="O66" i="2" s="1"/>
  <c r="J6" i="8"/>
  <c r="F6" i="8"/>
  <c r="F4" i="2"/>
  <c r="F38" i="2"/>
  <c r="N38" i="2"/>
  <c r="N4" i="2"/>
  <c r="B24" i="12"/>
  <c r="B24" i="10"/>
  <c r="B56" i="2"/>
  <c r="B24" i="8"/>
  <c r="B24" i="6"/>
  <c r="B24" i="1"/>
  <c r="J56" i="2"/>
  <c r="J22" i="2"/>
  <c r="B22" i="2"/>
  <c r="E8" i="10"/>
  <c r="D8" i="10"/>
  <c r="L8" i="8"/>
  <c r="D8" i="8"/>
  <c r="E6" i="2"/>
  <c r="C8" i="10"/>
  <c r="H8" i="11"/>
  <c r="H8" i="8"/>
  <c r="E40" i="2"/>
  <c r="M40" i="2"/>
  <c r="B29" i="12"/>
  <c r="B29" i="10"/>
  <c r="B61" i="2"/>
  <c r="J27" i="2"/>
  <c r="B29" i="1"/>
  <c r="J61" i="2"/>
  <c r="B29" i="8"/>
  <c r="B29" i="6"/>
  <c r="B27" i="2"/>
  <c r="B13" i="12"/>
  <c r="B13" i="10"/>
  <c r="B45" i="2"/>
  <c r="J11" i="2"/>
  <c r="B11" i="2"/>
  <c r="B13" i="1"/>
  <c r="B13" i="8"/>
  <c r="J45" i="2"/>
  <c r="B13" i="6"/>
  <c r="B35" i="12"/>
  <c r="B35" i="10"/>
  <c r="B67" i="2"/>
  <c r="B35" i="1"/>
  <c r="J33" i="2"/>
  <c r="J67" i="2"/>
  <c r="B35" i="6"/>
  <c r="B35" i="8"/>
  <c r="B33" i="2"/>
  <c r="K7" i="10"/>
  <c r="H7" i="10"/>
  <c r="E7" i="10"/>
  <c r="F3" i="2"/>
  <c r="F37" i="2"/>
  <c r="B18" i="10"/>
  <c r="B50" i="2"/>
  <c r="B18" i="12"/>
  <c r="B18" i="6"/>
  <c r="J16" i="2"/>
  <c r="B18" i="1"/>
  <c r="B18" i="8"/>
  <c r="J50" i="2"/>
  <c r="B16" i="2"/>
  <c r="G8" i="11"/>
  <c r="K40" i="2"/>
  <c r="K6" i="2"/>
  <c r="B14" i="10"/>
  <c r="B46" i="2"/>
  <c r="B14" i="6"/>
  <c r="J12" i="2"/>
  <c r="B12" i="2"/>
  <c r="B14" i="8"/>
  <c r="J46" i="2"/>
  <c r="B14" i="12"/>
  <c r="B14" i="1"/>
  <c r="F14" i="10"/>
  <c r="I14" i="10" s="1"/>
  <c r="F32" i="10"/>
  <c r="I32" i="10" s="1"/>
  <c r="F28" i="10"/>
  <c r="I28" i="10" s="1"/>
  <c r="N53" i="2"/>
  <c r="O53" i="2" s="1"/>
  <c r="P21" i="2"/>
  <c r="D23" i="6" s="1"/>
  <c r="P7" i="2"/>
  <c r="N50" i="2"/>
  <c r="O50" i="2" s="1"/>
  <c r="N49" i="2"/>
  <c r="O49" i="2" s="1"/>
  <c r="N41" i="2"/>
  <c r="O41" i="2" s="1"/>
  <c r="P26" i="2"/>
  <c r="D28" i="6" s="1"/>
  <c r="C7" i="10"/>
  <c r="F7" i="10"/>
  <c r="I7" i="10"/>
  <c r="B32" i="12"/>
  <c r="B32" i="10"/>
  <c r="B32" i="8"/>
  <c r="B64" i="2"/>
  <c r="B30" i="2"/>
  <c r="B32" i="6"/>
  <c r="J30" i="2"/>
  <c r="B32" i="1"/>
  <c r="J64" i="2"/>
  <c r="B16" i="12"/>
  <c r="B16" i="10"/>
  <c r="B48" i="2"/>
  <c r="B16" i="1"/>
  <c r="B16" i="6"/>
  <c r="J48" i="2"/>
  <c r="B14" i="2"/>
  <c r="B16" i="8"/>
  <c r="J14" i="2"/>
  <c r="P3" i="2"/>
  <c r="P37" i="2"/>
  <c r="B6" i="12"/>
  <c r="B4" i="10"/>
  <c r="J37" i="2"/>
  <c r="J3" i="2"/>
  <c r="B5" i="8"/>
  <c r="B37" i="2"/>
  <c r="B5" i="11"/>
  <c r="B3" i="2"/>
  <c r="B21" i="12"/>
  <c r="B21" i="10"/>
  <c r="B53" i="2"/>
  <c r="J19" i="2"/>
  <c r="B21" i="8"/>
  <c r="B19" i="2"/>
  <c r="B21" i="1"/>
  <c r="B21" i="6"/>
  <c r="J53" i="2"/>
  <c r="H37" i="2"/>
  <c r="H3" i="2"/>
  <c r="B19" i="10"/>
  <c r="B19" i="12"/>
  <c r="B19" i="8"/>
  <c r="B51" i="2"/>
  <c r="J17" i="2"/>
  <c r="J51" i="2"/>
  <c r="B17" i="2"/>
  <c r="B19" i="1"/>
  <c r="B19" i="6"/>
  <c r="B34" i="12"/>
  <c r="B34" i="10"/>
  <c r="B66" i="2"/>
  <c r="B34" i="1"/>
  <c r="J66" i="2"/>
  <c r="J32" i="2"/>
  <c r="B32" i="2"/>
  <c r="B34" i="8"/>
  <c r="B34" i="6"/>
  <c r="B30" i="12"/>
  <c r="B30" i="10"/>
  <c r="B62" i="2"/>
  <c r="B30" i="6"/>
  <c r="J62" i="2"/>
  <c r="B30" i="1"/>
  <c r="B28" i="2"/>
  <c r="B30" i="8"/>
  <c r="J28" i="2"/>
  <c r="F30" i="10"/>
  <c r="I30" i="10" s="1"/>
  <c r="F16" i="10"/>
  <c r="I16" i="10" s="1"/>
  <c r="F12" i="10"/>
  <c r="I12" i="10" s="1"/>
  <c r="F27" i="10"/>
  <c r="I27" i="10" s="1"/>
  <c r="F25" i="10"/>
  <c r="I25" i="10" s="1"/>
  <c r="F19" i="10"/>
  <c r="I19" i="10" s="1"/>
  <c r="F11" i="10"/>
  <c r="I11" i="10" s="1"/>
  <c r="F33" i="10"/>
  <c r="I33" i="10" s="1"/>
  <c r="F17" i="10"/>
  <c r="I17" i="10" s="1"/>
  <c r="F9" i="10"/>
  <c r="F13" i="10"/>
  <c r="I13" i="10" s="1"/>
  <c r="N60" i="2"/>
  <c r="O60" i="2" s="1"/>
  <c r="N45" i="2"/>
  <c r="O45" i="2" s="1"/>
  <c r="G33" i="2"/>
  <c r="F23" i="10"/>
  <c r="I23" i="10" s="1"/>
  <c r="F18" i="10"/>
  <c r="I18" i="10" s="1"/>
  <c r="D37" i="10"/>
  <c r="G9" i="10" s="1"/>
  <c r="D38" i="10"/>
  <c r="N54" i="2"/>
  <c r="O54" i="2" s="1"/>
  <c r="P25" i="2"/>
  <c r="D27" i="6" s="1"/>
  <c r="N64" i="2"/>
  <c r="O64" i="2" s="1"/>
  <c r="P27" i="2"/>
  <c r="D29" i="6" s="1"/>
  <c r="N63" i="2"/>
  <c r="O63" i="2" s="1"/>
  <c r="G12" i="7"/>
  <c r="E12" i="7"/>
  <c r="K12" i="7" s="1"/>
  <c r="H12" i="7"/>
  <c r="F12" i="7"/>
  <c r="H13" i="2"/>
  <c r="C15" i="6" s="1"/>
  <c r="B28" i="12"/>
  <c r="B28" i="10"/>
  <c r="B60" i="2"/>
  <c r="B28" i="1"/>
  <c r="J26" i="2"/>
  <c r="B26" i="2"/>
  <c r="B28" i="8"/>
  <c r="B28" i="6"/>
  <c r="J60" i="2"/>
  <c r="D6" i="8"/>
  <c r="H6" i="8"/>
  <c r="L6" i="8"/>
  <c r="E8" i="11"/>
  <c r="K8" i="8"/>
  <c r="F8" i="8"/>
  <c r="L40" i="2"/>
  <c r="C6" i="2"/>
  <c r="C8" i="12"/>
  <c r="F8" i="11"/>
  <c r="G8" i="8"/>
  <c r="C40" i="2"/>
  <c r="J8" i="8"/>
  <c r="D6" i="2"/>
  <c r="D40" i="2"/>
  <c r="E37" i="12"/>
  <c r="F9" i="12"/>
  <c r="F10" i="10"/>
  <c r="I10" i="10" s="1"/>
  <c r="K9" i="10" l="1"/>
  <c r="J9" i="10"/>
  <c r="H7" i="2"/>
  <c r="L12" i="10"/>
  <c r="D9" i="6"/>
  <c r="H21" i="2"/>
  <c r="C23" i="6" s="1"/>
  <c r="P55" i="2"/>
  <c r="F23" i="6" s="1"/>
  <c r="H51" i="2"/>
  <c r="E19" i="6" s="1"/>
  <c r="H52" i="2"/>
  <c r="E20" i="6" s="1"/>
  <c r="H30" i="2"/>
  <c r="C32" i="6" s="1"/>
  <c r="H24" i="2"/>
  <c r="C26" i="6" s="1"/>
  <c r="H18" i="2"/>
  <c r="C20" i="6" s="1"/>
  <c r="H10" i="2"/>
  <c r="C12" i="6" s="1"/>
  <c r="H8" i="2"/>
  <c r="C10" i="6" s="1"/>
  <c r="H16" i="2"/>
  <c r="C18" i="6" s="1"/>
  <c r="H31" i="2"/>
  <c r="C33" i="6" s="1"/>
  <c r="H11" i="2"/>
  <c r="C13" i="6" s="1"/>
  <c r="H23" i="2"/>
  <c r="C25" i="6" s="1"/>
  <c r="H32" i="2"/>
  <c r="C34" i="6" s="1"/>
  <c r="H28" i="2"/>
  <c r="C30" i="6" s="1"/>
  <c r="G30" i="6" s="1"/>
  <c r="C30" i="1" s="1"/>
  <c r="H22" i="2"/>
  <c r="C24" i="6" s="1"/>
  <c r="H9" i="2"/>
  <c r="C11" i="6" s="1"/>
  <c r="H26" i="2"/>
  <c r="C28" i="6" s="1"/>
  <c r="H20" i="2"/>
  <c r="C22" i="6" s="1"/>
  <c r="H19" i="2"/>
  <c r="C21" i="6" s="1"/>
  <c r="H14" i="2"/>
  <c r="C16" i="6" s="1"/>
  <c r="H17" i="2"/>
  <c r="C19" i="6" s="1"/>
  <c r="H12" i="2"/>
  <c r="C14" i="6" s="1"/>
  <c r="H25" i="2"/>
  <c r="C27" i="6" s="1"/>
  <c r="F37" i="10"/>
  <c r="I9" i="10"/>
  <c r="F38" i="10"/>
  <c r="O67" i="2"/>
  <c r="P54" i="2" s="1"/>
  <c r="F22" i="6" s="1"/>
  <c r="P41" i="2"/>
  <c r="P53" i="2"/>
  <c r="F21" i="6" s="1"/>
  <c r="P62" i="2"/>
  <c r="F30" i="6" s="1"/>
  <c r="H15" i="2"/>
  <c r="C17" i="6" s="1"/>
  <c r="H57" i="2"/>
  <c r="E25" i="6" s="1"/>
  <c r="G67" i="2"/>
  <c r="H48" i="2" s="1"/>
  <c r="E16" i="6" s="1"/>
  <c r="H41" i="2"/>
  <c r="H46" i="2"/>
  <c r="E14" i="6" s="1"/>
  <c r="H59" i="2"/>
  <c r="E27" i="6" s="1"/>
  <c r="F19" i="12"/>
  <c r="F14" i="12"/>
  <c r="F31" i="12"/>
  <c r="F27" i="12"/>
  <c r="F30" i="12"/>
  <c r="F17" i="12"/>
  <c r="F18" i="12"/>
  <c r="F25" i="12"/>
  <c r="F33" i="12"/>
  <c r="F22" i="12"/>
  <c r="F21" i="12"/>
  <c r="F24" i="12"/>
  <c r="F10" i="12"/>
  <c r="F20" i="12"/>
  <c r="F16" i="12"/>
  <c r="F28" i="12"/>
  <c r="F29" i="12"/>
  <c r="F15" i="12"/>
  <c r="F13" i="12"/>
  <c r="F26" i="12"/>
  <c r="F34" i="12"/>
  <c r="F32" i="12"/>
  <c r="P17" i="2"/>
  <c r="D19" i="6" s="1"/>
  <c r="P9" i="2"/>
  <c r="D11" i="6" s="1"/>
  <c r="P20" i="2"/>
  <c r="D22" i="6" s="1"/>
  <c r="P13" i="2"/>
  <c r="D15" i="6" s="1"/>
  <c r="P11" i="2"/>
  <c r="D13" i="6" s="1"/>
  <c r="P19" i="2"/>
  <c r="D21" i="6" s="1"/>
  <c r="P15" i="2"/>
  <c r="D17" i="6" s="1"/>
  <c r="P24" i="2"/>
  <c r="D26" i="6" s="1"/>
  <c r="P30" i="2"/>
  <c r="D32" i="6" s="1"/>
  <c r="P12" i="2"/>
  <c r="D14" i="6" s="1"/>
  <c r="P10" i="2"/>
  <c r="D12" i="6" s="1"/>
  <c r="P45" i="2"/>
  <c r="F13" i="6" s="1"/>
  <c r="F23" i="12"/>
  <c r="P63" i="2"/>
  <c r="F31" i="6" s="1"/>
  <c r="P18" i="2"/>
  <c r="D20" i="6" s="1"/>
  <c r="P31" i="2"/>
  <c r="D33" i="6" s="1"/>
  <c r="P60" i="2"/>
  <c r="F28" i="6" s="1"/>
  <c r="P23" i="2"/>
  <c r="D25" i="6" s="1"/>
  <c r="P50" i="2"/>
  <c r="F18" i="6" s="1"/>
  <c r="H29" i="2"/>
  <c r="C31" i="6" s="1"/>
  <c r="L32" i="10"/>
  <c r="P66" i="2"/>
  <c r="F34" i="6" s="1"/>
  <c r="P51" i="2"/>
  <c r="F19" i="6" s="1"/>
  <c r="P16" i="2"/>
  <c r="D18" i="6" s="1"/>
  <c r="H28" i="10"/>
  <c r="K28" i="10" s="1"/>
  <c r="H12" i="10"/>
  <c r="K12" i="10" s="1"/>
  <c r="H32" i="10"/>
  <c r="K32" i="10" s="1"/>
  <c r="H18" i="10"/>
  <c r="K18" i="10" s="1"/>
  <c r="H29" i="10"/>
  <c r="K29" i="10" s="1"/>
  <c r="H16" i="10"/>
  <c r="K16" i="10" s="1"/>
  <c r="H27" i="10"/>
  <c r="K27" i="10" s="1"/>
  <c r="H15" i="10"/>
  <c r="K15" i="10" s="1"/>
  <c r="H21" i="10"/>
  <c r="K21" i="10" s="1"/>
  <c r="L21" i="10" s="1"/>
  <c r="H26" i="10"/>
  <c r="K26" i="10" s="1"/>
  <c r="H19" i="10"/>
  <c r="K19" i="10" s="1"/>
  <c r="H17" i="10"/>
  <c r="K17" i="10" s="1"/>
  <c r="L17" i="10" s="1"/>
  <c r="H10" i="10"/>
  <c r="K10" i="10" s="1"/>
  <c r="L10" i="10" s="1"/>
  <c r="H22" i="10"/>
  <c r="K22" i="10" s="1"/>
  <c r="H20" i="10"/>
  <c r="K20" i="10" s="1"/>
  <c r="H31" i="10"/>
  <c r="K31" i="10" s="1"/>
  <c r="H34" i="10"/>
  <c r="K34" i="10" s="1"/>
  <c r="H30" i="10"/>
  <c r="K30" i="10" s="1"/>
  <c r="H33" i="10"/>
  <c r="K33" i="10" s="1"/>
  <c r="H23" i="10"/>
  <c r="K23" i="10" s="1"/>
  <c r="H13" i="10"/>
  <c r="K13" i="10" s="1"/>
  <c r="H11" i="10"/>
  <c r="K11" i="10" s="1"/>
  <c r="H25" i="10"/>
  <c r="K25" i="10" s="1"/>
  <c r="H14" i="10"/>
  <c r="K14" i="10" s="1"/>
  <c r="H24" i="10"/>
  <c r="K24" i="10" s="1"/>
  <c r="H64" i="2"/>
  <c r="E32" i="6" s="1"/>
  <c r="H61" i="2"/>
  <c r="E29" i="6" s="1"/>
  <c r="H56" i="2"/>
  <c r="E24" i="6" s="1"/>
  <c r="H55" i="2"/>
  <c r="E23" i="6" s="1"/>
  <c r="H45" i="2"/>
  <c r="E13" i="6" s="1"/>
  <c r="H44" i="2"/>
  <c r="E12" i="6" s="1"/>
  <c r="H47" i="2"/>
  <c r="E15" i="6" s="1"/>
  <c r="G17" i="10"/>
  <c r="J17" i="10" s="1"/>
  <c r="G31" i="10"/>
  <c r="J31" i="10" s="1"/>
  <c r="G30" i="10"/>
  <c r="J30" i="10" s="1"/>
  <c r="L30" i="10" s="1"/>
  <c r="G20" i="10"/>
  <c r="J20" i="10" s="1"/>
  <c r="L20" i="10" s="1"/>
  <c r="G22" i="10"/>
  <c r="J22" i="10" s="1"/>
  <c r="L22" i="10" s="1"/>
  <c r="G11" i="10"/>
  <c r="J11" i="10" s="1"/>
  <c r="G25" i="10"/>
  <c r="J25" i="10" s="1"/>
  <c r="L25" i="10" s="1"/>
  <c r="G29" i="10"/>
  <c r="J29" i="10" s="1"/>
  <c r="L29" i="10" s="1"/>
  <c r="G19" i="10"/>
  <c r="J19" i="10" s="1"/>
  <c r="L19" i="10" s="1"/>
  <c r="G15" i="10"/>
  <c r="J15" i="10" s="1"/>
  <c r="G28" i="10"/>
  <c r="J28" i="10" s="1"/>
  <c r="L28" i="10" s="1"/>
  <c r="G26" i="10"/>
  <c r="J26" i="10" s="1"/>
  <c r="L26" i="10" s="1"/>
  <c r="G12" i="10"/>
  <c r="J12" i="10" s="1"/>
  <c r="G16" i="10"/>
  <c r="J16" i="10" s="1"/>
  <c r="G13" i="10"/>
  <c r="J13" i="10" s="1"/>
  <c r="L13" i="10" s="1"/>
  <c r="G23" i="10"/>
  <c r="J23" i="10" s="1"/>
  <c r="L23" i="10" s="1"/>
  <c r="G32" i="10"/>
  <c r="J32" i="10" s="1"/>
  <c r="G10" i="10"/>
  <c r="J10" i="10" s="1"/>
  <c r="G33" i="10"/>
  <c r="J33" i="10" s="1"/>
  <c r="L33" i="10" s="1"/>
  <c r="G24" i="10"/>
  <c r="J24" i="10" s="1"/>
  <c r="L24" i="10" s="1"/>
  <c r="G14" i="10"/>
  <c r="J14" i="10" s="1"/>
  <c r="G18" i="10"/>
  <c r="J18" i="10" s="1"/>
  <c r="G34" i="10"/>
  <c r="J34" i="10" s="1"/>
  <c r="G27" i="10"/>
  <c r="J27" i="10" s="1"/>
  <c r="L27" i="10" s="1"/>
  <c r="G21" i="10"/>
  <c r="J21" i="10" s="1"/>
  <c r="L11" i="10"/>
  <c r="L14" i="10"/>
  <c r="P47" i="2"/>
  <c r="F15" i="6" s="1"/>
  <c r="G15" i="6" s="1"/>
  <c r="C15" i="1" s="1"/>
  <c r="H53" i="2"/>
  <c r="E21" i="6" s="1"/>
  <c r="H65" i="2"/>
  <c r="E33" i="6" s="1"/>
  <c r="H62" i="2"/>
  <c r="E30" i="6" s="1"/>
  <c r="F38" i="12"/>
  <c r="G9" i="12" s="1"/>
  <c r="P64" i="2"/>
  <c r="F32" i="6" s="1"/>
  <c r="L18" i="10"/>
  <c r="L16" i="10"/>
  <c r="H27" i="2"/>
  <c r="C29" i="6" s="1"/>
  <c r="P43" i="2"/>
  <c r="F11" i="6" s="1"/>
  <c r="H63" i="2"/>
  <c r="E31" i="6" s="1"/>
  <c r="H58" i="2"/>
  <c r="E26" i="6" s="1"/>
  <c r="F11" i="12"/>
  <c r="P49" i="2"/>
  <c r="F17" i="6" s="1"/>
  <c r="P32" i="2"/>
  <c r="D34" i="6" s="1"/>
  <c r="P48" i="2"/>
  <c r="F16" i="6" s="1"/>
  <c r="P65" i="2"/>
  <c r="F33" i="6" s="1"/>
  <c r="P8" i="2"/>
  <c r="D10" i="6" s="1"/>
  <c r="H42" i="2"/>
  <c r="E10" i="6" s="1"/>
  <c r="H49" i="2"/>
  <c r="E17" i="6" s="1"/>
  <c r="H60" i="2"/>
  <c r="E28" i="6" s="1"/>
  <c r="H54" i="2"/>
  <c r="E22" i="6" s="1"/>
  <c r="H43" i="2"/>
  <c r="E11" i="6" s="1"/>
  <c r="H66" i="2"/>
  <c r="E34" i="6" s="1"/>
  <c r="G26" i="12" l="1"/>
  <c r="G28" i="12"/>
  <c r="G25" i="12"/>
  <c r="G27" i="12"/>
  <c r="G14" i="6"/>
  <c r="C14" i="1" s="1"/>
  <c r="G22" i="6"/>
  <c r="C22" i="1" s="1"/>
  <c r="G33" i="6"/>
  <c r="C33" i="1" s="1"/>
  <c r="G12" i="12"/>
  <c r="P33" i="2"/>
  <c r="H37" i="10"/>
  <c r="G11" i="12"/>
  <c r="L34" i="10"/>
  <c r="G13" i="12"/>
  <c r="G16" i="12"/>
  <c r="G18" i="12"/>
  <c r="G31" i="12"/>
  <c r="F9" i="6"/>
  <c r="G19" i="6"/>
  <c r="C19" i="1" s="1"/>
  <c r="G28" i="6"/>
  <c r="C28" i="1" s="1"/>
  <c r="G26" i="6"/>
  <c r="C26" i="1" s="1"/>
  <c r="K37" i="10"/>
  <c r="K38" i="10"/>
  <c r="L15" i="10"/>
  <c r="G34" i="12"/>
  <c r="G29" i="12"/>
  <c r="G10" i="12"/>
  <c r="G35" i="12" s="1"/>
  <c r="H9" i="12" s="1"/>
  <c r="G33" i="12"/>
  <c r="G30" i="12"/>
  <c r="G19" i="12"/>
  <c r="P58" i="2"/>
  <c r="F26" i="6" s="1"/>
  <c r="G27" i="6"/>
  <c r="C27" i="1" s="1"/>
  <c r="G21" i="6"/>
  <c r="C21" i="1" s="1"/>
  <c r="G13" i="6"/>
  <c r="C13" i="1" s="1"/>
  <c r="G12" i="6"/>
  <c r="C12" i="1" s="1"/>
  <c r="H50" i="2"/>
  <c r="E18" i="6" s="1"/>
  <c r="G18" i="6" s="1"/>
  <c r="C18" i="1" s="1"/>
  <c r="D35" i="6"/>
  <c r="C9" i="6"/>
  <c r="H33" i="2"/>
  <c r="J37" i="10"/>
  <c r="J38" i="10"/>
  <c r="G23" i="12"/>
  <c r="G24" i="12"/>
  <c r="G21" i="12"/>
  <c r="G17" i="6"/>
  <c r="C17" i="1" s="1"/>
  <c r="I38" i="10"/>
  <c r="I37" i="10"/>
  <c r="L9" i="10"/>
  <c r="G34" i="6"/>
  <c r="C34" i="1" s="1"/>
  <c r="G37" i="10"/>
  <c r="L31" i="10"/>
  <c r="G31" i="6"/>
  <c r="C31" i="1" s="1"/>
  <c r="G32" i="12"/>
  <c r="G15" i="12"/>
  <c r="G20" i="12"/>
  <c r="G22" i="12"/>
  <c r="G17" i="12"/>
  <c r="G14" i="12"/>
  <c r="E9" i="6"/>
  <c r="P57" i="2"/>
  <c r="F25" i="6" s="1"/>
  <c r="G25" i="6" s="1"/>
  <c r="C25" i="1" s="1"/>
  <c r="P59" i="2"/>
  <c r="F27" i="6" s="1"/>
  <c r="P42" i="2"/>
  <c r="F10" i="6" s="1"/>
  <c r="P61" i="2"/>
  <c r="F29" i="6" s="1"/>
  <c r="G29" i="6" s="1"/>
  <c r="C29" i="1" s="1"/>
  <c r="P52" i="2"/>
  <c r="F20" i="6" s="1"/>
  <c r="G20" i="6" s="1"/>
  <c r="C20" i="1" s="1"/>
  <c r="P46" i="2"/>
  <c r="F14" i="6" s="1"/>
  <c r="P44" i="2"/>
  <c r="F12" i="6" s="1"/>
  <c r="P56" i="2"/>
  <c r="F24" i="6" s="1"/>
  <c r="G24" i="6" s="1"/>
  <c r="C24" i="1" s="1"/>
  <c r="G16" i="6"/>
  <c r="C16" i="1" s="1"/>
  <c r="G11" i="6"/>
  <c r="C11" i="1" s="1"/>
  <c r="G10" i="6"/>
  <c r="C10" i="1" s="1"/>
  <c r="G32" i="6"/>
  <c r="C32" i="1" s="1"/>
  <c r="G23" i="6"/>
  <c r="C23" i="1" s="1"/>
  <c r="G38" i="10"/>
  <c r="H38" i="10"/>
  <c r="E9" i="1" l="1"/>
  <c r="H17" i="12"/>
  <c r="E17" i="1" s="1"/>
  <c r="H32" i="12"/>
  <c r="E32" i="1" s="1"/>
  <c r="H24" i="12"/>
  <c r="E24" i="1" s="1"/>
  <c r="H34" i="12"/>
  <c r="E34" i="1" s="1"/>
  <c r="P67" i="2"/>
  <c r="H12" i="12"/>
  <c r="E12" i="1" s="1"/>
  <c r="H26" i="12"/>
  <c r="E26" i="1" s="1"/>
  <c r="H22" i="12"/>
  <c r="E22" i="1" s="1"/>
  <c r="L39" i="10"/>
  <c r="L37" i="10"/>
  <c r="L38" i="10"/>
  <c r="M9" i="10"/>
  <c r="H21" i="12"/>
  <c r="E21" i="1" s="1"/>
  <c r="H33" i="12"/>
  <c r="E33" i="1" s="1"/>
  <c r="F35" i="6"/>
  <c r="H11" i="12"/>
  <c r="E11" i="1" s="1"/>
  <c r="H27" i="12"/>
  <c r="E27" i="1" s="1"/>
  <c r="E35" i="6"/>
  <c r="H20" i="12"/>
  <c r="E20" i="1" s="1"/>
  <c r="H14" i="12"/>
  <c r="E14" i="1" s="1"/>
  <c r="H15" i="12"/>
  <c r="E15" i="1" s="1"/>
  <c r="H19" i="12"/>
  <c r="E19" i="1" s="1"/>
  <c r="H29" i="12"/>
  <c r="E29" i="1" s="1"/>
  <c r="M15" i="10"/>
  <c r="H18" i="12"/>
  <c r="E18" i="1" s="1"/>
  <c r="H28" i="12"/>
  <c r="E28" i="1" s="1"/>
  <c r="H30" i="12"/>
  <c r="E30" i="1" s="1"/>
  <c r="H16" i="12"/>
  <c r="E16" i="1" s="1"/>
  <c r="H67" i="2"/>
  <c r="H23" i="12"/>
  <c r="E23" i="1" s="1"/>
  <c r="H13" i="12"/>
  <c r="E13" i="1" s="1"/>
  <c r="M31" i="10"/>
  <c r="G9" i="6"/>
  <c r="C35" i="6"/>
  <c r="H10" i="12"/>
  <c r="E10" i="1" s="1"/>
  <c r="H31" i="12"/>
  <c r="E31" i="1" s="1"/>
  <c r="M34" i="10"/>
  <c r="H25" i="12"/>
  <c r="E25" i="1" s="1"/>
  <c r="G35" i="6" l="1"/>
  <c r="C9" i="1"/>
  <c r="E35" i="1"/>
  <c r="H35" i="12"/>
  <c r="M13" i="10"/>
  <c r="M20" i="10"/>
  <c r="M19" i="10"/>
  <c r="M24" i="10"/>
  <c r="M26" i="10"/>
  <c r="M32" i="10"/>
  <c r="M22" i="10"/>
  <c r="M30" i="10"/>
  <c r="M21" i="10"/>
  <c r="M11" i="10"/>
  <c r="M23" i="10"/>
  <c r="M25" i="10"/>
  <c r="M16" i="10"/>
  <c r="M14" i="10"/>
  <c r="M12" i="10"/>
  <c r="M28" i="10"/>
  <c r="M17" i="10"/>
  <c r="M10" i="10"/>
  <c r="M29" i="10"/>
  <c r="M27" i="10"/>
  <c r="M33" i="10"/>
  <c r="M18" i="10"/>
  <c r="M37" i="10" l="1"/>
  <c r="N32" i="10" s="1"/>
  <c r="N10" i="10"/>
  <c r="N20" i="10"/>
  <c r="C35" i="1"/>
  <c r="N17" i="10"/>
  <c r="N13" i="10"/>
  <c r="N30" i="10"/>
  <c r="N29" i="10" l="1"/>
  <c r="N25" i="10"/>
  <c r="N26" i="10"/>
  <c r="N33" i="10"/>
  <c r="N15" i="10"/>
  <c r="N9" i="10"/>
  <c r="N31" i="10"/>
  <c r="N34" i="10"/>
  <c r="N18" i="10"/>
  <c r="N28" i="10"/>
  <c r="N21" i="10"/>
  <c r="N11" i="10"/>
  <c r="N19" i="10"/>
  <c r="N22" i="10"/>
  <c r="N24" i="10"/>
  <c r="N27" i="10"/>
  <c r="N16" i="10"/>
  <c r="N14" i="10"/>
  <c r="N23" i="10"/>
  <c r="N12" i="10"/>
  <c r="O28" i="10" l="1"/>
  <c r="D28" i="1" s="1"/>
  <c r="F28" i="1" s="1"/>
  <c r="O29" i="10"/>
  <c r="D29" i="1" s="1"/>
  <c r="F29" i="1" s="1"/>
  <c r="O19" i="10"/>
  <c r="D19" i="1" s="1"/>
  <c r="F19" i="1" s="1"/>
  <c r="O12" i="10"/>
  <c r="D12" i="1" s="1"/>
  <c r="F12" i="1" s="1"/>
  <c r="O11" i="10"/>
  <c r="D11" i="1" s="1"/>
  <c r="F11" i="1" s="1"/>
  <c r="O22" i="10"/>
  <c r="D22" i="1" s="1"/>
  <c r="F22" i="1" s="1"/>
  <c r="N35" i="10"/>
  <c r="O9" i="10"/>
  <c r="O16" i="10"/>
  <c r="D16" i="1" s="1"/>
  <c r="F16" i="1" s="1"/>
  <c r="O18" i="10"/>
  <c r="D18" i="1" s="1"/>
  <c r="F18" i="1" s="1"/>
  <c r="O33" i="10"/>
  <c r="D33" i="1" s="1"/>
  <c r="F33" i="1" s="1"/>
  <c r="O27" i="10"/>
  <c r="D27" i="1" s="1"/>
  <c r="F27" i="1" s="1"/>
  <c r="O34" i="10"/>
  <c r="D34" i="1" s="1"/>
  <c r="F34" i="1" s="1"/>
  <c r="O26" i="10"/>
  <c r="D26" i="1" s="1"/>
  <c r="F26" i="1" s="1"/>
  <c r="O23" i="10"/>
  <c r="D23" i="1" s="1"/>
  <c r="F23" i="1" s="1"/>
  <c r="O24" i="10"/>
  <c r="D24" i="1" s="1"/>
  <c r="F24" i="1" s="1"/>
  <c r="O21" i="10"/>
  <c r="D21" i="1" s="1"/>
  <c r="F21" i="1" s="1"/>
  <c r="O31" i="10"/>
  <c r="D31" i="1" s="1"/>
  <c r="F31" i="1" s="1"/>
  <c r="O25" i="10"/>
  <c r="D25" i="1" s="1"/>
  <c r="F25" i="1" s="1"/>
  <c r="D9" i="1" l="1"/>
  <c r="O32" i="10"/>
  <c r="D32" i="1" s="1"/>
  <c r="F32" i="1" s="1"/>
  <c r="O17" i="10"/>
  <c r="D17" i="1" s="1"/>
  <c r="F17" i="1" s="1"/>
  <c r="O13" i="10"/>
  <c r="D13" i="1" s="1"/>
  <c r="F13" i="1" s="1"/>
  <c r="O20" i="10"/>
  <c r="D20" i="1" s="1"/>
  <c r="F20" i="1" s="1"/>
  <c r="O10" i="10"/>
  <c r="D10" i="1" s="1"/>
  <c r="F10" i="1" s="1"/>
  <c r="O30" i="10"/>
  <c r="D30" i="1" s="1"/>
  <c r="F30" i="1" s="1"/>
  <c r="O15" i="10"/>
  <c r="D15" i="1" s="1"/>
  <c r="F15" i="1" s="1"/>
  <c r="O14" i="10"/>
  <c r="D14" i="1" s="1"/>
  <c r="F14" i="1" s="1"/>
  <c r="D35" i="1" l="1"/>
  <c r="F9" i="1"/>
  <c r="F35" i="1" s="1"/>
  <c r="O35" i="10"/>
</calcChain>
</file>

<file path=xl/sharedStrings.xml><?xml version="1.0" encoding="utf-8"?>
<sst xmlns="http://schemas.openxmlformats.org/spreadsheetml/2006/main" count="3318" uniqueCount="2837">
  <si>
    <t>GLA 1 (Siedlungshöhe)</t>
  </si>
  <si>
    <t>Indikator</t>
  </si>
  <si>
    <t>Lastenindex</t>
  </si>
  <si>
    <t>Erhebungsjahr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</si>
  <si>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</si>
  <si>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</si>
  <si>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</si>
  <si>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</si>
  <si>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</si>
  <si>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</si>
  <si>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</si>
  <si>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</si>
  <si>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</si>
  <si>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</si>
  <si>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</si>
  <si>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</si>
  <si>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</si>
  <si>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</si>
  <si>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</si>
  <si>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</si>
  <si>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</si>
  <si>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</si>
  <si>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</si>
  <si>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</si>
  <si>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</si>
  <si>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</si>
  <si>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</si>
  <si>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</si>
  <si>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</si>
  <si>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</si>
  <si>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</si>
  <si>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GLA 2 (Steilheit des Geländes)</t>
  </si>
  <si>
    <t>GLA 3 (Siedlungsstruktur)</t>
  </si>
  <si>
    <t>GLA 4 (Geringe Bevölkerungsdichte)</t>
  </si>
  <si>
    <t>in CHF</t>
  </si>
  <si>
    <t>GLA 1</t>
  </si>
  <si>
    <t>GLA 2</t>
  </si>
  <si>
    <t>GLA 3</t>
  </si>
  <si>
    <t>GLA 4</t>
  </si>
  <si>
    <t>Anteil</t>
  </si>
  <si>
    <t>SLA F</t>
  </si>
  <si>
    <t>Teilausgleiche</t>
  </si>
  <si>
    <t>+ Anpassung Dotation</t>
  </si>
  <si>
    <t>+ Wachstum (LIK)</t>
  </si>
  <si>
    <t>Geografisch-topografischer Lastenausgleich (GLA)</t>
  </si>
  <si>
    <t>Ordentliche Fortschreibung</t>
  </si>
  <si>
    <t>Siedlungshöhe</t>
  </si>
  <si>
    <t>Siedlungsstruktur</t>
  </si>
  <si>
    <t>Spalte</t>
  </si>
  <si>
    <t>C</t>
  </si>
  <si>
    <t>D</t>
  </si>
  <si>
    <t>Formel</t>
  </si>
  <si>
    <t>F</t>
  </si>
  <si>
    <t>G</t>
  </si>
  <si>
    <t>H</t>
  </si>
  <si>
    <t>K</t>
  </si>
  <si>
    <t>L</t>
  </si>
  <si>
    <t>M</t>
  </si>
  <si>
    <t>E</t>
  </si>
  <si>
    <t>I</t>
  </si>
  <si>
    <t>J</t>
  </si>
  <si>
    <t>Teilindikatoren</t>
  </si>
  <si>
    <t>Standardisierte Teilindikatoren</t>
  </si>
  <si>
    <t>Armut
(SLA A)</t>
  </si>
  <si>
    <t>Mittelwert (MW)</t>
  </si>
  <si>
    <t>Masszahl
Lasten</t>
  </si>
  <si>
    <t>Minimum (Min)</t>
  </si>
  <si>
    <t>N</t>
  </si>
  <si>
    <t>O</t>
  </si>
  <si>
    <t>I + J + K</t>
  </si>
  <si>
    <t>Fläche</t>
  </si>
  <si>
    <t>(Teil-)Indikatoren Gemeinden</t>
  </si>
  <si>
    <t>D / C</t>
  </si>
  <si>
    <t>Referenzjahr</t>
  </si>
  <si>
    <t>Berechnungsdatum</t>
  </si>
  <si>
    <t>Berechnungs-ID</t>
  </si>
  <si>
    <t>Auszahlungen in CHF</t>
  </si>
  <si>
    <t>Lastenausgleich
Total</t>
  </si>
  <si>
    <t>Zahlungen im</t>
  </si>
  <si>
    <t>SLA A</t>
  </si>
  <si>
    <t>SLA B</t>
  </si>
  <si>
    <t>SLA C</t>
  </si>
  <si>
    <t>Schweiz</t>
  </si>
  <si>
    <t>G / F</t>
  </si>
  <si>
    <t>K / J</t>
  </si>
  <si>
    <t>Ständige
Wohnbe-
völkerung</t>
  </si>
  <si>
    <t>Einheit</t>
  </si>
  <si>
    <t>Anzahl</t>
  </si>
  <si>
    <t>CHF</t>
  </si>
  <si>
    <t>Beschäfti-
gungs-
quote</t>
  </si>
  <si>
    <t>Beschäf-
tigung</t>
  </si>
  <si>
    <t>Gemeinde-
nummer
BFS</t>
  </si>
  <si>
    <t>Siedlungs-
dichte</t>
  </si>
  <si>
    <t>Hektaren</t>
  </si>
  <si>
    <t>C / D</t>
  </si>
  <si>
    <t>E / E[Schweiz]</t>
  </si>
  <si>
    <t xml:space="preserve"> (F - 100) * C</t>
  </si>
  <si>
    <t>G / G[Schweiz] * Dotation</t>
  </si>
  <si>
    <t>Indikator = Anteil der Wohnbevölkerung mit einer Wohnhöhe von über 800 m</t>
  </si>
  <si>
    <t>P</t>
  </si>
  <si>
    <t>M / M[Schweiz]</t>
  </si>
  <si>
    <t xml:space="preserve"> (N - 100) * K</t>
  </si>
  <si>
    <t>Indikator = Anteil der Wohnbevölkerung in Siedlungen mit weniger als 200 Einwohnern</t>
  </si>
  <si>
    <t>Indikator = Mittlere Höhe der produktiven Fläche</t>
  </si>
  <si>
    <t>Indikator = Hektaren pro Einwohner</t>
  </si>
  <si>
    <t>Prozent</t>
  </si>
  <si>
    <t>Punkte</t>
  </si>
  <si>
    <t>K / L</t>
  </si>
  <si>
    <r>
      <t xml:space="preserve">F * </t>
    </r>
    <r>
      <rPr>
        <sz val="8"/>
        <rFont val="Symbol"/>
        <family val="1"/>
        <charset val="2"/>
      </rPr>
      <t>w</t>
    </r>
  </si>
  <si>
    <r>
      <t xml:space="preserve">G * </t>
    </r>
    <r>
      <rPr>
        <sz val="8"/>
        <rFont val="Symbol"/>
        <family val="1"/>
        <charset val="2"/>
      </rPr>
      <t>w</t>
    </r>
  </si>
  <si>
    <r>
      <t xml:space="preserve">H * </t>
    </r>
    <r>
      <rPr>
        <sz val="8"/>
        <rFont val="Symbol"/>
        <family val="1"/>
        <charset val="2"/>
      </rPr>
      <t>w</t>
    </r>
  </si>
  <si>
    <t>F / E</t>
  </si>
  <si>
    <t>(E + F) / G</t>
  </si>
  <si>
    <t>J * E</t>
  </si>
  <si>
    <t>Auszahlung
SLA F</t>
  </si>
  <si>
    <t>Produktive
Fläche</t>
  </si>
  <si>
    <t>Die Berechnung des Lastenausgleichs wird im Technischen Bericht detailliert beschrieben:
www.efv.admin.ch → Themen  → Finanzausgleich  → Dokumentation</t>
  </si>
  <si>
    <t>Meter ü. M.</t>
  </si>
  <si>
    <t>Daten geografischer Lastenausgleich</t>
  </si>
  <si>
    <t>Daten soziodemografischer Lastenausgleich A-C</t>
  </si>
  <si>
    <t>Daten soziodemografischer Lastenausgleich F</t>
  </si>
  <si>
    <t>Übersicht über die Zahlungen im Lastenausgleich</t>
  </si>
  <si>
    <t>Zahlungen geografischer Lastenausgleich</t>
  </si>
  <si>
    <t>Zahlungen soziodemografischer Lastenausgleich A-C</t>
  </si>
  <si>
    <t>Zahlungen soziodemografischer Lastenausgleich F</t>
  </si>
  <si>
    <t>Wählen Sie Ihre Sprache</t>
  </si>
  <si>
    <t>Choisissez votre langue</t>
  </si>
  <si>
    <t>Selezionare la vostra lingua</t>
  </si>
  <si>
    <t>Choose your language</t>
  </si>
  <si>
    <t>TOTAL</t>
  </si>
  <si>
    <t>DOT</t>
  </si>
  <si>
    <t>Beschriftung der Tabellen</t>
  </si>
  <si>
    <t>Sprache</t>
  </si>
  <si>
    <t>Auswahl der Sprache</t>
  </si>
  <si>
    <t>Deutsch</t>
  </si>
  <si>
    <t>Français</t>
  </si>
  <si>
    <t xml:space="preserve">Die Sprache wird über das Steuerelement auf dem </t>
  </si>
  <si>
    <t>Italiano</t>
  </si>
  <si>
    <t>Tabellenblatt "INTRO" ausgewählt.</t>
  </si>
  <si>
    <t>English</t>
  </si>
  <si>
    <t xml:space="preserve"> </t>
  </si>
  <si>
    <t>Eidgenössisches Finanzdepartement EFD</t>
  </si>
  <si>
    <t>Département fédéral des finances DFF</t>
  </si>
  <si>
    <t>Eidgenössische Finanzverwaltung EFV</t>
  </si>
  <si>
    <t>Administration fédérale des finances AFF</t>
  </si>
  <si>
    <t>Finanzausgleich zwischen Bund und Kantonen</t>
  </si>
  <si>
    <t>Péréquation financière entre la Confédération et les cantons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</si>
  <si>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</si>
  <si>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</si>
  <si>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</si>
  <si>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</si>
  <si>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</si>
  <si>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</si>
  <si>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</si>
  <si>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</si>
  <si>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</si>
  <si>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</si>
  <si>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</si>
  <si>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</si>
  <si>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</si>
  <si>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</si>
  <si>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</si>
  <si>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</si>
  <si>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</si>
  <si>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</si>
  <si>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</si>
  <si>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</si>
  <si>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</si>
  <si>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</si>
  <si>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Suisse</t>
  </si>
  <si>
    <t>CHF 1'000</t>
  </si>
  <si>
    <t>Gewicht (ω)</t>
  </si>
  <si>
    <t>GLA_1</t>
  </si>
  <si>
    <t>GLA_2</t>
  </si>
  <si>
    <t>SLA_AC_1</t>
  </si>
  <si>
    <t>SLA_AC_2</t>
  </si>
  <si>
    <t>SLA_F_1</t>
  </si>
  <si>
    <t>SLA_F_2</t>
  </si>
  <si>
    <t>O / O[Schweiz] * Dotation</t>
  </si>
  <si>
    <t>L - L[Min]</t>
  </si>
  <si>
    <t>N / N[Schweiz] * Dot</t>
  </si>
  <si>
    <t>Lasten-
index</t>
  </si>
  <si>
    <t>E - E[Min]</t>
  </si>
  <si>
    <t>C * (F - F[MW])</t>
  </si>
  <si>
    <t>G / G[Schweiz] * Dot</t>
  </si>
  <si>
    <t>Colonne</t>
  </si>
  <si>
    <t>Formule</t>
  </si>
  <si>
    <t>Unité</t>
  </si>
  <si>
    <t>Nombre</t>
  </si>
  <si>
    <t>Points</t>
  </si>
  <si>
    <t>Année de référence</t>
  </si>
  <si>
    <t>+ croissance (IPC)</t>
  </si>
  <si>
    <t>+ adaptation de la dotation</t>
  </si>
  <si>
    <t>CCG 1</t>
  </si>
  <si>
    <t>CCG 2</t>
  </si>
  <si>
    <t>CCG 3</t>
  </si>
  <si>
    <t>CCG 4</t>
  </si>
  <si>
    <t>CCS F</t>
  </si>
  <si>
    <t>CCG 2 (Déclivité du terrain)</t>
  </si>
  <si>
    <t>CCG 3 (Structure de l’habitat)</t>
  </si>
  <si>
    <t>Indicateur</t>
  </si>
  <si>
    <t>Surface</t>
  </si>
  <si>
    <t>E / E[Suisse]</t>
  </si>
  <si>
    <t>M / M[Suisse]</t>
  </si>
  <si>
    <t>O / O[Suisse] * dotation</t>
  </si>
  <si>
    <t>G / G[Suisse] * dotation</t>
  </si>
  <si>
    <t>Déclivité du terrain</t>
  </si>
  <si>
    <t>Structure de l’habitat</t>
  </si>
  <si>
    <t>CCG Total</t>
  </si>
  <si>
    <t>GLA Total</t>
  </si>
  <si>
    <t>CCS A</t>
  </si>
  <si>
    <t>CCS B</t>
  </si>
  <si>
    <t>CCS C</t>
  </si>
  <si>
    <t>Indicateurs partiels</t>
  </si>
  <si>
    <t>Indicateurs partiels standardisés</t>
  </si>
  <si>
    <t>Emploi</t>
  </si>
  <si>
    <t>Hectares</t>
  </si>
  <si>
    <t>Pondération (ω)</t>
  </si>
  <si>
    <t>Federal Department of Finance FDF</t>
  </si>
  <si>
    <t>Ticino</t>
  </si>
  <si>
    <t>Geneva</t>
  </si>
  <si>
    <t>Switzerland</t>
  </si>
  <si>
    <t>Column</t>
  </si>
  <si>
    <t>Formula</t>
  </si>
  <si>
    <t>Unit</t>
  </si>
  <si>
    <t>CHF 1,000</t>
  </si>
  <si>
    <t>Indicator</t>
  </si>
  <si>
    <t>Reference year</t>
  </si>
  <si>
    <t>+ Growth (CPI)</t>
  </si>
  <si>
    <t>Ordinary extrapolation</t>
  </si>
  <si>
    <t>+ Endowment adjustment</t>
  </si>
  <si>
    <t>GCC 1</t>
  </si>
  <si>
    <t>GCC 2</t>
  </si>
  <si>
    <t>GCC 3</t>
  </si>
  <si>
    <t>GCC 4</t>
  </si>
  <si>
    <t>SCC C</t>
  </si>
  <si>
    <t>SCC F</t>
  </si>
  <si>
    <t>SCC A-C</t>
  </si>
  <si>
    <t>GCC 1 (Altitude)</t>
  </si>
  <si>
    <t>GCC 2 (Terrain steepness)</t>
  </si>
  <si>
    <t>GCC 3 (Population density)</t>
  </si>
  <si>
    <t>GCC 4 (Low population density)</t>
  </si>
  <si>
    <t>Indicator = Hectares per capita</t>
  </si>
  <si>
    <t>Area</t>
  </si>
  <si>
    <t>E / E[Switzerland]</t>
  </si>
  <si>
    <t>M / M[Switzerland]</t>
  </si>
  <si>
    <t>Altitude</t>
  </si>
  <si>
    <t>Terrain steepness</t>
  </si>
  <si>
    <t>Population density</t>
  </si>
  <si>
    <t>GCC total</t>
  </si>
  <si>
    <t>SCC A</t>
  </si>
  <si>
    <t>SCC B</t>
  </si>
  <si>
    <t>Partial indicators</t>
  </si>
  <si>
    <t>Standardized partial indicators</t>
  </si>
  <si>
    <t>Weighted standardized partial indicators</t>
  </si>
  <si>
    <t>Average (AVG)</t>
  </si>
  <si>
    <t>C * (F - F[AVG])</t>
  </si>
  <si>
    <t>(M-M[MW]) * Bev</t>
  </si>
  <si>
    <t>(M-M[AVG]) * Pop</t>
  </si>
  <si>
    <t>Federal Finance Administration FFA</t>
  </si>
  <si>
    <t>Fiscal equalization between the Confederation and the cantons</t>
  </si>
  <si>
    <t>Overview of cost compensation payments</t>
  </si>
  <si>
    <t>Geographical cost compensation data</t>
  </si>
  <si>
    <t>Geographical cost compensation payments</t>
  </si>
  <si>
    <t>Socio-demographic cost compensation data A-C</t>
  </si>
  <si>
    <t>Socio-demographic cost compensation payments A-C</t>
  </si>
  <si>
    <t>Socio-demographic cost compensation data F</t>
  </si>
  <si>
    <t>Socio-demographic cost compensation payments F</t>
  </si>
  <si>
    <t>Basel Stadt</t>
  </si>
  <si>
    <t>Basel Landschaft</t>
  </si>
  <si>
    <t>Survey year</t>
  </si>
  <si>
    <t>Number</t>
  </si>
  <si>
    <t>Percent</t>
  </si>
  <si>
    <t>Calculation date</t>
  </si>
  <si>
    <t>Calculation ID</t>
  </si>
  <si>
    <t>Payments in</t>
  </si>
  <si>
    <t>Outpayments in CHF</t>
  </si>
  <si>
    <t>Geographical/topographic cost compensation (GCC)</t>
  </si>
  <si>
    <t>Partial equalizations</t>
  </si>
  <si>
    <t>Proportion</t>
  </si>
  <si>
    <t>Indicator = Proportion of inhabitants living at an altitude of over 800m)</t>
  </si>
  <si>
    <t>Indicator = Average altitude of productive surface area</t>
  </si>
  <si>
    <t>Indicator = Proportion of population in residential areas with fewer than 200 inhabitants</t>
  </si>
  <si>
    <t>Weighting (ω)</t>
  </si>
  <si>
    <t>(Partial) indicators communes</t>
  </si>
  <si>
    <t>Commune designation</t>
  </si>
  <si>
    <t>Employment</t>
  </si>
  <si>
    <t>Standardabweichung</t>
  </si>
  <si>
    <t>Standard deviation</t>
  </si>
  <si>
    <t>Aperçu des paiements au titre de la compensation des charges</t>
  </si>
  <si>
    <t>Année</t>
  </si>
  <si>
    <t>Date de calcul</t>
  </si>
  <si>
    <t>Code de calcul</t>
  </si>
  <si>
    <t>Paiements au titre de la</t>
  </si>
  <si>
    <t>Actualisation ordinaire</t>
  </si>
  <si>
    <t>Péréquation partielle</t>
  </si>
  <si>
    <t>Part</t>
  </si>
  <si>
    <t>CCG 1 (Altitude)</t>
  </si>
  <si>
    <t>Indicateur = part de la population résidante habitant à plus de 800 m d'altitude</t>
  </si>
  <si>
    <t>Indicateur = altitude médiane des surfaces productives</t>
  </si>
  <si>
    <t>CCG 4 (Faible densité démographique)</t>
  </si>
  <si>
    <t>Indicateur = surface en hectares par habitant</t>
  </si>
  <si>
    <t>L - L[min.]</t>
  </si>
  <si>
    <t>(M-M[moy.]) * pop.</t>
  </si>
  <si>
    <t>N / N[Suisse] * dot.</t>
  </si>
  <si>
    <t>Moyenne (moy.)</t>
  </si>
  <si>
    <t>Écart-type</t>
  </si>
  <si>
    <t>Minimum (min.)</t>
  </si>
  <si>
    <t>Indicateurs (partiels) des communes</t>
  </si>
  <si>
    <t>E - E[min.]</t>
  </si>
  <si>
    <t>C * (F - F[moy.])</t>
  </si>
  <si>
    <t>G / G[Suisse] * dot.</t>
  </si>
  <si>
    <t>Dipartimento federale delle finanze DFF</t>
  </si>
  <si>
    <t>Amministrazione federale delle finanze AFF</t>
  </si>
  <si>
    <t>Perequazione finanziaria tra Confederazione e Cantoni</t>
  </si>
  <si>
    <t>Panoramica dei pagamenti nella compensazione degli oneri</t>
  </si>
  <si>
    <t>Pagamenti della compensazione dell'aggravio geotopografico</t>
  </si>
  <si>
    <t>Dati della compensazione dell'aggravio sociodemografico A-C</t>
  </si>
  <si>
    <t>Pagamenti della compensazione dell'aggravio sociodemografico A-C</t>
  </si>
  <si>
    <t>Dati della compensazione dell'aggravio sociodemografico F</t>
  </si>
  <si>
    <t>Pagamenti della compensazione dell'aggravio sociodemografico F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</si>
  <si>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</si>
  <si>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</si>
  <si>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</si>
  <si>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</si>
  <si>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</si>
  <si>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</si>
  <si>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</si>
  <si>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</si>
  <si>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</si>
  <si>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</si>
  <si>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</si>
  <si>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</si>
  <si>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</si>
  <si>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</si>
  <si>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</si>
  <si>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</si>
  <si>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</si>
  <si>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</si>
  <si>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</si>
  <si>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</si>
  <si>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</si>
  <si>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</si>
  <si>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Svizzera</t>
  </si>
  <si>
    <t>Colonna</t>
  </si>
  <si>
    <t>Anno di rilevazione</t>
  </si>
  <si>
    <t>Unità</t>
  </si>
  <si>
    <t>Indicatore</t>
  </si>
  <si>
    <t>CHF 1000</t>
  </si>
  <si>
    <t>Numero</t>
  </si>
  <si>
    <t>Punti</t>
  </si>
  <si>
    <t>Percento</t>
  </si>
  <si>
    <t>Ettari</t>
  </si>
  <si>
    <t>Metri s.l.m.</t>
  </si>
  <si>
    <t>Totale</t>
  </si>
  <si>
    <t>Anno di riferimento</t>
  </si>
  <si>
    <t>Pagamenti nella</t>
  </si>
  <si>
    <t>Versamenti in CHF</t>
  </si>
  <si>
    <t>Perequazione dell'aggravio geotopografico (PAG)</t>
  </si>
  <si>
    <t>+ crescita (IPC)</t>
  </si>
  <si>
    <t>Aggiornamento ordinario</t>
  </si>
  <si>
    <t>+ adeguamento della dotazione</t>
  </si>
  <si>
    <t>PAG 1</t>
  </si>
  <si>
    <t>PAG 2</t>
  </si>
  <si>
    <t>PAG 3</t>
  </si>
  <si>
    <t>PAG 4</t>
  </si>
  <si>
    <t>PAS A-C</t>
  </si>
  <si>
    <t>PAS F</t>
  </si>
  <si>
    <t>Perequazioni parziali</t>
  </si>
  <si>
    <t>Quota</t>
  </si>
  <si>
    <t>PAG 1 (altitudine degli insediamenti)</t>
  </si>
  <si>
    <t>Indicatore = percentuale della popolazione residente a oltre 800 metri s.l.m.</t>
  </si>
  <si>
    <t>PAG 2 (declività del terreno)</t>
  </si>
  <si>
    <t>Indicatore = altitudine media della superficie produttiva</t>
  </si>
  <si>
    <t>PAG 3 (struttura dell'insediamento)</t>
  </si>
  <si>
    <t>Indicatore = percentuale della popolazione residente in insediamenti con meno di 200 abitanti</t>
  </si>
  <si>
    <t>PAG 4 (bassa densità demografica)</t>
  </si>
  <si>
    <t>Indicatore = ettari pro capite</t>
  </si>
  <si>
    <t>Popolazione residente in modo permanente a oltre 800 metri s.l.m.</t>
  </si>
  <si>
    <t>Popolazione residente permanente</t>
  </si>
  <si>
    <t>Indice di aggravio</t>
  </si>
  <si>
    <t>Oneri speciali determinanti</t>
  </si>
  <si>
    <t>Superficie produttiva</t>
  </si>
  <si>
    <t>Altitudine mediana della superficie produttiva</t>
  </si>
  <si>
    <t>Popolazione residente in modo permanente in insediamenti con meno di 200 abitanti</t>
  </si>
  <si>
    <t>Superficie</t>
  </si>
  <si>
    <t>E / E[Svizzera]</t>
  </si>
  <si>
    <t>G / G[Svizzera] * dotazione</t>
  </si>
  <si>
    <t>M / M[Svizzera]</t>
  </si>
  <si>
    <t>O / O[Svizzera] * dotazione</t>
  </si>
  <si>
    <t>Totale PAG</t>
  </si>
  <si>
    <t>PAS A</t>
  </si>
  <si>
    <t>PAS B</t>
  </si>
  <si>
    <t>PAS C</t>
  </si>
  <si>
    <t>Ponderazione (ω)</t>
  </si>
  <si>
    <t>Indicatori parziali</t>
  </si>
  <si>
    <t>Indicatori parziali standardizzati</t>
  </si>
  <si>
    <t>L - L[min]</t>
  </si>
  <si>
    <t>(M-M[med]) * pop.</t>
  </si>
  <si>
    <t>N / N[Svizzera] * dot</t>
  </si>
  <si>
    <t>Valore medio (med)</t>
  </si>
  <si>
    <t>Deviazione standard</t>
  </si>
  <si>
    <t>Minimo (min)</t>
  </si>
  <si>
    <t>Indicatori (parziali) dei Comuni</t>
  </si>
  <si>
    <t>Nome del Comune</t>
  </si>
  <si>
    <t>Occupazione</t>
  </si>
  <si>
    <t>E - E[min]</t>
  </si>
  <si>
    <t>C * (F - F[med])</t>
  </si>
  <si>
    <t>G / G[Svizzera] * dot</t>
  </si>
  <si>
    <t>Fortschreibung der Dotationen im Lastenausgleich</t>
  </si>
  <si>
    <t>Actualisation des dotations de la compensation des charges</t>
  </si>
  <si>
    <t>Aggiornamento delle dotazioni nella compensazione degli oneri</t>
  </si>
  <si>
    <t>Extrapolation of cost compensation endowments</t>
  </si>
  <si>
    <t>En francs</t>
  </si>
  <si>
    <t>Montants reçus, en francs</t>
  </si>
  <si>
    <t>%</t>
  </si>
  <si>
    <t>Geografisch-
topografischer
Lastenausgleich
(GLA)</t>
  </si>
  <si>
    <t>Sozio-
demografischer
Lastenausgleich
(SLA A-C)</t>
  </si>
  <si>
    <t>Sozio-
demografischer
Lastenausgleich
(SLA F)</t>
  </si>
  <si>
    <t>Soziodemografischer
Lastenausgleich (SLA)</t>
  </si>
  <si>
    <t>Ständige Wohnbev.
mit einer Wohnhöhe
von über 800 m.ü.M.</t>
  </si>
  <si>
    <t>Ständige Wohn-
bevölkerung</t>
  </si>
  <si>
    <t>Massgebende
Sonderlasten</t>
  </si>
  <si>
    <t>Steilheit des
Geländes</t>
  </si>
  <si>
    <t>Geringe Bevölke-
rungsdichte</t>
  </si>
  <si>
    <t>Bevölkerung
über 80 Jahre</t>
  </si>
  <si>
    <t>Massgebende
ausländische
Bevölkerung</t>
  </si>
  <si>
    <t>Gewichtete
standardisierte Teilindikatoren</t>
  </si>
  <si>
    <t>Alters-
struktur
(SLA B)</t>
  </si>
  <si>
    <t>Ausländer-
integration
(SLA C)</t>
  </si>
  <si>
    <t>Auszahlung
SLA A-C</t>
  </si>
  <si>
    <t>Kantons-
nummer
BFS</t>
  </si>
  <si>
    <t>Gemeinde-
indikator</t>
  </si>
  <si>
    <t>Gemeinde-
indikator
gewichtet</t>
  </si>
  <si>
    <t>Summe
Gemeinde-
indikatoren</t>
  </si>
  <si>
    <t>Kernstadt-
indikator</t>
  </si>
  <si>
    <t>Versamento
PAS F</t>
  </si>
  <si>
    <t>Outpayment
SCC F</t>
  </si>
  <si>
    <t>Dati della compensazione dell'aggravio geotopografico</t>
  </si>
  <si>
    <t>Données concernant la compensation des charges géo-topographiques</t>
  </si>
  <si>
    <t>Paiements au titre de la compensation des charges géo-topographiques</t>
  </si>
  <si>
    <t>Données concernant la compensation des charges socio-démographiques A-C</t>
  </si>
  <si>
    <t>Paiements au titre de la compensation des charges socio-démographiques A-C</t>
  </si>
  <si>
    <t>Données concernant la compensation des charges socio-démographiques F</t>
  </si>
  <si>
    <t>Paiements au titre de la compensation des charges socio-démographiques F</t>
  </si>
  <si>
    <t>Le calcul de la compensation des charges est décrit en détail dans la documentation technique:
www.efv.admin.ch → Thèmes  → Péréquation financière  → Documentation</t>
  </si>
  <si>
    <t>Compensation des charges
dues à des facteurs géo-topographiques (CCG)</t>
  </si>
  <si>
    <t>Compensation des charges
dues à des facteurs
socio-démographiques (CCS)</t>
  </si>
  <si>
    <t>Compensation
des charges
Total</t>
  </si>
  <si>
    <t>Compensation
des charges
géo-topo-
graphiques
(CCG)</t>
  </si>
  <si>
    <t>Compensation
des charges
socio-démo-
graphiques
(CCS A-C)</t>
  </si>
  <si>
    <t>Compensation
des charges
socio-démo-
graphiques
(CCS F)</t>
  </si>
  <si>
    <t>Population résidante
permanente à plus
de 800 m d'altitude</t>
  </si>
  <si>
    <t>Population
résidante
permanente</t>
  </si>
  <si>
    <t>Indice des
charges</t>
  </si>
  <si>
    <t>Charges
spéciales
déterminantes</t>
  </si>
  <si>
    <t>Montant reçu
au titre des
CCG 1</t>
  </si>
  <si>
    <t>Surface
productive</t>
  </si>
  <si>
    <t>Altitude médiane
des surfaces
productives</t>
  </si>
  <si>
    <t>Montant reçu
au titre des
CCG 2</t>
  </si>
  <si>
    <t>Montant reçu
au titre des
CCG 3</t>
  </si>
  <si>
    <t>Montant reçu
au titre des
CCG 4</t>
  </si>
  <si>
    <t>Faible densité
démographique</t>
  </si>
  <si>
    <t>Pauvreté
(indicateur de
pauvreté de l'OFS)</t>
  </si>
  <si>
    <t>Intégration des étrangers
(part de la population étrangère déterminante)</t>
  </si>
  <si>
    <t>Habitants
de plus de
80 ans</t>
  </si>
  <si>
    <t>Population
étrangère
déterminante</t>
  </si>
  <si>
    <t>Indicateurs partiels
standardisés pondérés</t>
  </si>
  <si>
    <t>Pauvreté
(CCS A)</t>
  </si>
  <si>
    <t>Âge
(CCS B)</t>
  </si>
  <si>
    <t>Intégration
des
étrangers
(CCS C)</t>
  </si>
  <si>
    <t>Coefficient
de charges</t>
  </si>
  <si>
    <t>Charges
excessives
déterminantes</t>
  </si>
  <si>
    <t>Montant reçu
au titre des
CCS A-C</t>
  </si>
  <si>
    <t>N° OFS
du canton</t>
  </si>
  <si>
    <t>N° OFS
de la
commune</t>
  </si>
  <si>
    <t>Taux
d’emploi</t>
  </si>
  <si>
    <t>Densité
de la
population</t>
  </si>
  <si>
    <t>Indicateur
standardisé
des
communes</t>
  </si>
  <si>
    <t>Indicateur
standardisé
des
communes
pondéré</t>
  </si>
  <si>
    <t>Somme des
indicateurs des
communes</t>
  </si>
  <si>
    <t>Indicateur des
villes-centres</t>
  </si>
  <si>
    <t>Montant reçu
au titre des
CCS F</t>
  </si>
  <si>
    <t>Armut
(Armutsindikator
des BFS)</t>
  </si>
  <si>
    <t>Perequazione
dell'aggravio
geotopografico
(PAG)</t>
  </si>
  <si>
    <t>Perequazione
dell'aggravio
sociodemografico
(PAS A-C)</t>
  </si>
  <si>
    <t>Perequazione
dell'aggravio
sociodemografico
(PAS F)</t>
  </si>
  <si>
    <t>Il calcolo della compensazione degli oneri è descritto in modo dettagliato nel rapporto tecnico:
www.efv.admin.ch → Temi  → Perequazione finanziaria  → Documentazione</t>
  </si>
  <si>
    <t>The calculation of cost compensation is described in detail in the technical report:
www.efv.admin.ch → Topics → Fiscal equalization → Documentation</t>
  </si>
  <si>
    <t>Perequazione dell'aggravio
sociodemografico (PAS)</t>
  </si>
  <si>
    <t>Totale
compensazione
degli oneri</t>
  </si>
  <si>
    <t>Altitudine degli
insediamenti</t>
  </si>
  <si>
    <t>Declività
del terreno</t>
  </si>
  <si>
    <t>Struttura
dell'insediamento</t>
  </si>
  <si>
    <t>Bassa densità
demografica</t>
  </si>
  <si>
    <t>Povertà
(indicatore di
povertà dell'UST)</t>
  </si>
  <si>
    <t>Integrazione degli stranieri
(percentuale della popolazione straniera
determinante rispetto alla popolazione residente)</t>
  </si>
  <si>
    <t>Popolazione
residente
permanente</t>
  </si>
  <si>
    <t>Abitanti di
età superiore
agli 80 anni</t>
  </si>
  <si>
    <t>Popolazione
straniera
determinante</t>
  </si>
  <si>
    <t>Indicatori parziali
standardizzati ponderati</t>
  </si>
  <si>
    <t>Povertà
(PAS A)</t>
  </si>
  <si>
    <t>Struttura
di età
(PAS B)</t>
  </si>
  <si>
    <t>Integrazione
degli
stranieri
(PAS C)</t>
  </si>
  <si>
    <t>Indice di
aggravio</t>
  </si>
  <si>
    <t>Coefficiente
degli oneri</t>
  </si>
  <si>
    <t>Oneri speciali
determinanti</t>
  </si>
  <si>
    <t>Versamento
PAS A-C</t>
  </si>
  <si>
    <t>N. Cantone
UST</t>
  </si>
  <si>
    <t>N. Comune
UST</t>
  </si>
  <si>
    <t>Gemeindebezeichnung</t>
  </si>
  <si>
    <t>Nom de la commune</t>
  </si>
  <si>
    <t>Tasso di
occupazione</t>
  </si>
  <si>
    <t>Densità
dell'inse-
diamento</t>
  </si>
  <si>
    <t>Indicatore
del Comune
ponderato</t>
  </si>
  <si>
    <t>Indicatore
del Comune</t>
  </si>
  <si>
    <t>Somma degli
indicatori del
Comune</t>
  </si>
  <si>
    <t>Indicatore
della città polo</t>
  </si>
  <si>
    <t>Geographical/
topographic cost
compensation
(GCC)</t>
  </si>
  <si>
    <t>Socio-demo-
graphic cost
compensation
(SCC A-C)</t>
  </si>
  <si>
    <t>Socio-demo-
graphic cost
compensation
(SCC F)</t>
  </si>
  <si>
    <t>Socio-demographic
cost compensation (SCC)</t>
  </si>
  <si>
    <t>Total cost
compensation</t>
  </si>
  <si>
    <t>Permanent resident
population living
at over 800m</t>
  </si>
  <si>
    <t>Permanent
resident
population</t>
  </si>
  <si>
    <t>Burden
index</t>
  </si>
  <si>
    <t>Relevant
excessive
costs</t>
  </si>
  <si>
    <t>Auszahlung
GLA 1</t>
  </si>
  <si>
    <t>Auszahlung
GLA 2</t>
  </si>
  <si>
    <t>Auszahlung
GLA 3</t>
  </si>
  <si>
    <t>Auszahlung
GLA 4</t>
  </si>
  <si>
    <t>Versamento
PAG 1</t>
  </si>
  <si>
    <t>Versamento
PAG 2</t>
  </si>
  <si>
    <t>Versamento
PAG 3</t>
  </si>
  <si>
    <t>Versamento
PAG 4</t>
  </si>
  <si>
    <t>Outpayment
GCC 1</t>
  </si>
  <si>
    <t>Outpayment
GCC 2</t>
  </si>
  <si>
    <t>Outpayment
GCC 3</t>
  </si>
  <si>
    <t>Outpayment
GCC 4</t>
  </si>
  <si>
    <t>Productive
surface area</t>
  </si>
  <si>
    <t>Median altitude of
productive surface
area indicator</t>
  </si>
  <si>
    <t>Permanent resident
population in residen-
tial areas with fewer
than 200 inhabitants</t>
  </si>
  <si>
    <t>G / G[Swi] * endowment</t>
  </si>
  <si>
    <t>O / O[Swi] * endowment</t>
  </si>
  <si>
    <t>Low population
density</t>
  </si>
  <si>
    <t>Population
aged over 80</t>
  </si>
  <si>
    <t>Relevant
foreign
population</t>
  </si>
  <si>
    <t>Poverty
(SCC A)</t>
  </si>
  <si>
    <t>Age
structure
(SCC B)</t>
  </si>
  <si>
    <t>Immigrant
integration
(SCC C)</t>
  </si>
  <si>
    <t>Burden
measure</t>
  </si>
  <si>
    <t>Contributions
SCC A-C</t>
  </si>
  <si>
    <t>Canton
number
FSO</t>
  </si>
  <si>
    <t>Commune
number
FSO</t>
  </si>
  <si>
    <t>Surface
area</t>
  </si>
  <si>
    <t>Employment
rate</t>
  </si>
  <si>
    <t>Population
density</t>
  </si>
  <si>
    <t>Commune
indicator</t>
  </si>
  <si>
    <t>Commune
indicator
weighted</t>
  </si>
  <si>
    <t>Sum of
commune
indicators</t>
  </si>
  <si>
    <t>Core
city
indicator</t>
  </si>
  <si>
    <t>G / G[Swi] * End</t>
  </si>
  <si>
    <t>Indicateur = part des habitants en zones résidentielles de moins de 200 habitants</t>
  </si>
  <si>
    <t>Population résidante
permanente en
zones résidentielles de
moins de 200 hab.</t>
  </si>
  <si>
    <t>SLA A-C</t>
  </si>
  <si>
    <t>CCS A-C</t>
  </si>
  <si>
    <t>Höhenmedian
produktive Fläche</t>
  </si>
  <si>
    <t>Altersstruktur
(Anteil der Bevölkerung über 80 Jahre
an der Wohnbevölkerung)</t>
  </si>
  <si>
    <t>Struttura di età
(percentuale di abitanti di età superiore
agli 80 anni rispetto alla popolazione)</t>
  </si>
  <si>
    <t>Ausländerintegration
(Anteil der massgebenden ausländischen
Bevölkerung an der Wohnbevölkerung)</t>
  </si>
  <si>
    <t>Âge
(part de la population résidante ayant plus de 80 ans)</t>
  </si>
  <si>
    <t>Immigrant integration
(proportion of relevant foreign population
in resident population)</t>
  </si>
  <si>
    <t>Age structure
(proportion of resident population aged over 80)</t>
  </si>
  <si>
    <t>Meters a.s.l.</t>
  </si>
  <si>
    <t>Poverty
(FSO poverty indicator)</t>
  </si>
  <si>
    <t>N / N[Swi] * End</t>
  </si>
  <si>
    <t>Calcolato il</t>
  </si>
  <si>
    <t>Codice calcolo</t>
  </si>
  <si>
    <t>07.05.2018</t>
  </si>
  <si>
    <t>FA2019-18127105219</t>
  </si>
  <si>
    <t>04/2018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</si>
  <si>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</si>
  <si>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</si>
  <si>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</si>
  <si>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</si>
  <si>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</si>
  <si>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</si>
  <si>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</si>
  <si>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</si>
  <si>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</si>
  <si>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</si>
  <si>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</si>
  <si>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</si>
  <si>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</si>
  <si>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</si>
  <si>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</si>
  <si>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</si>
  <si>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</si>
  <si>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</si>
  <si>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</si>
  <si>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</si>
  <si>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</si>
  <si>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</si>
  <si>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</si>
  <si>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</si>
  <si>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</si>
  <si>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</si>
  <si>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</si>
  <si>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</si>
  <si>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</si>
  <si>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Oberstammheim</t>
  </si>
  <si>
    <t>Ossingen</t>
  </si>
  <si>
    <t>Rheinau</t>
  </si>
  <si>
    <t>Thalheim an der Thur</t>
  </si>
  <si>
    <t>Trüllikon</t>
  </si>
  <si>
    <t>Truttikon</t>
  </si>
  <si>
    <t>Unterstammheim</t>
  </si>
  <si>
    <t>Volken</t>
  </si>
  <si>
    <t>Waltalingen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</si>
  <si>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</si>
  <si>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</si>
  <si>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</si>
  <si>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</si>
  <si>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</si>
  <si>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</si>
  <si>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</si>
  <si>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</si>
  <si>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</si>
  <si>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</si>
  <si>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</si>
  <si>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</si>
  <si>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</si>
  <si>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</si>
  <si>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</si>
  <si>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</si>
  <si>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</si>
  <si>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</si>
  <si>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</si>
  <si>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</si>
  <si>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</si>
  <si>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</si>
  <si>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</si>
  <si>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</si>
  <si>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</si>
  <si>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</si>
  <si>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</si>
  <si>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</si>
  <si>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</si>
  <si>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</si>
  <si>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</si>
  <si>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</si>
  <si>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</si>
  <si>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</si>
  <si>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</si>
  <si>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</si>
  <si>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</si>
  <si>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</si>
  <si>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</si>
  <si>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</si>
  <si>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</si>
  <si>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</si>
  <si>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</si>
  <si>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</si>
  <si>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</si>
  <si>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</si>
  <si>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</si>
  <si>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</si>
  <si>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</si>
  <si>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</si>
  <si>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</si>
  <si>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</si>
  <si>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</si>
  <si>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</si>
  <si>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</si>
  <si>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</si>
  <si>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Hirzel</t>
  </si>
  <si>
    <t>Horgen</t>
  </si>
  <si>
    <t>Hütten</t>
  </si>
  <si>
    <t>Kilchberg (ZH)</t>
  </si>
  <si>
    <t>Langnau am Albis</t>
  </si>
  <si>
    <t>Oberrieden</t>
  </si>
  <si>
    <t>Richterswil</t>
  </si>
  <si>
    <t>Rüschlikon</t>
  </si>
  <si>
    <t>Schönenberg (ZH)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</si>
  <si>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</si>
  <si>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</si>
  <si>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</si>
  <si>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</si>
  <si>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</si>
  <si>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</si>
  <si>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</si>
  <si>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</si>
  <si>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</si>
  <si>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</si>
  <si>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</si>
  <si>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</si>
  <si>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</si>
  <si>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</si>
  <si>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</si>
  <si>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</si>
  <si>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</si>
  <si>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</si>
  <si>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</si>
  <si>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</si>
  <si>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</si>
  <si>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</si>
  <si>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</si>
  <si>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</si>
  <si>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</si>
  <si>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</si>
  <si>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</si>
  <si>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</si>
  <si>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</si>
  <si>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</si>
  <si>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</si>
  <si>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</si>
  <si>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</si>
  <si>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</si>
  <si>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</si>
  <si>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</si>
  <si>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Elgg</t>
  </si>
  <si>
    <t>Ellikon an der Thur</t>
  </si>
  <si>
    <t>Elsau</t>
  </si>
  <si>
    <t>Hagenbuch</t>
  </si>
  <si>
    <t>Hettlingen</t>
  </si>
  <si>
    <t>Hofstetten (ZH)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</si>
  <si>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</si>
  <si>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</si>
  <si>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</si>
  <si>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</si>
  <si>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</si>
  <si>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</si>
  <si>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</si>
  <si>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</si>
  <si>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</si>
  <si>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</si>
  <si>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</si>
  <si>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</si>
  <si>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</si>
  <si>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</si>
  <si>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</si>
  <si>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</si>
  <si>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</si>
  <si>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</si>
  <si>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</si>
  <si>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</si>
  <si>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Illnau-Effretikon</t>
  </si>
  <si>
    <t>Bauma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</si>
  <si>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</si>
  <si>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</si>
  <si>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</si>
  <si>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</si>
  <si>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</si>
  <si>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</si>
  <si>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</si>
  <si>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</si>
  <si>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</si>
  <si>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</si>
  <si>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</si>
  <si>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</si>
  <si>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</si>
  <si>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</si>
  <si>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</si>
  <si>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</si>
  <si>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</si>
  <si>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</si>
  <si>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</si>
  <si>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</si>
  <si>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</si>
  <si>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</si>
  <si>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</si>
  <si>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</si>
  <si>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</si>
  <si>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</si>
  <si>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</si>
  <si>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</si>
  <si>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</si>
  <si>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</si>
  <si>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</si>
  <si>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</si>
  <si>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</si>
  <si>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</si>
  <si>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</si>
  <si>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</si>
  <si>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</si>
  <si>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</si>
  <si>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</si>
  <si>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</si>
  <si>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</si>
  <si>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</si>
  <si>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</si>
  <si>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</si>
  <si>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</si>
  <si>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</si>
  <si>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</si>
  <si>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</si>
  <si>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</si>
  <si>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</si>
  <si>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</si>
  <si>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</si>
  <si>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</si>
  <si>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</si>
  <si>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</si>
  <si>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</si>
  <si>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</si>
  <si>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</si>
  <si>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</si>
  <si>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</si>
  <si>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</si>
  <si>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</si>
  <si>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</si>
  <si>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</si>
  <si>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</si>
  <si>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</si>
  <si>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</si>
  <si>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</si>
  <si>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</si>
  <si>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</si>
  <si>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</si>
  <si>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</si>
  <si>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</si>
  <si>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</si>
  <si>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</si>
  <si>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</si>
  <si>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</si>
  <si>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</si>
  <si>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</si>
  <si>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</si>
  <si>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</si>
  <si>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</si>
  <si>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</si>
  <si>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</si>
  <si>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</si>
  <si>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</si>
  <si>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</si>
  <si>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</si>
  <si>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</si>
  <si>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</si>
  <si>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</si>
  <si>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</si>
  <si>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</si>
  <si>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</si>
  <si>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</si>
  <si>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</si>
  <si>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</si>
  <si>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</si>
  <si>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</si>
  <si>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</si>
  <si>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</si>
  <si>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</si>
  <si>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</si>
  <si>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</si>
  <si>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</si>
  <si>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</si>
  <si>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</si>
  <si>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</si>
  <si>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</si>
  <si>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</si>
  <si>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</si>
  <si>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</si>
  <si>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</si>
  <si>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</si>
  <si>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</si>
  <si>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</si>
  <si>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</si>
  <si>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</si>
  <si>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</si>
  <si>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</si>
  <si>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</si>
  <si>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</si>
  <si>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</si>
  <si>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</si>
  <si>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</si>
  <si>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</si>
  <si>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</si>
  <si>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</si>
  <si>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</si>
  <si>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</si>
  <si>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</si>
  <si>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</si>
  <si>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</si>
  <si>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</si>
  <si>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</si>
  <si>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</si>
  <si>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</si>
  <si>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</si>
  <si>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</si>
  <si>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</si>
  <si>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</si>
  <si>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</si>
  <si>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</si>
  <si>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</si>
  <si>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</si>
  <si>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</si>
  <si>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</si>
  <si>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</si>
  <si>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</si>
  <si>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</si>
  <si>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</si>
  <si>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</si>
  <si>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</si>
  <si>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</si>
  <si>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</si>
  <si>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</si>
  <si>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</si>
  <si>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</si>
  <si>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</si>
  <si>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</si>
  <si>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</si>
  <si>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</si>
  <si>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</si>
  <si>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</si>
  <si>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</si>
  <si>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</si>
  <si>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</si>
  <si>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</si>
  <si>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</si>
  <si>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</si>
  <si>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</si>
  <si>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</si>
  <si>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</si>
  <si>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</si>
  <si>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</si>
  <si>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Schlosswil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</si>
  <si>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</si>
  <si>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</si>
  <si>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</si>
  <si>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</si>
  <si>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</si>
  <si>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</si>
  <si>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</si>
  <si>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</si>
  <si>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</si>
  <si>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Golaten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</si>
  <si>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</si>
  <si>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</si>
  <si>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</si>
  <si>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</si>
  <si>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</si>
  <si>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</si>
  <si>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</si>
  <si>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</si>
  <si>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</si>
  <si>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</si>
  <si>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</si>
  <si>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</si>
  <si>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</si>
  <si>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</si>
  <si>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</si>
  <si>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</si>
  <si>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</si>
  <si>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</si>
  <si>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</si>
  <si>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</si>
  <si>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</si>
  <si>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</si>
  <si>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</si>
  <si>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</si>
  <si>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</si>
  <si>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</si>
  <si>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</si>
  <si>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</si>
  <si>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</si>
  <si>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</si>
  <si>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</si>
  <si>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</si>
  <si>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</si>
  <si>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</si>
  <si>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</si>
  <si>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</si>
  <si>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</si>
  <si>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</si>
  <si>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</si>
  <si>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</si>
  <si>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</si>
  <si>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</si>
  <si>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</si>
  <si>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</si>
  <si>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</si>
  <si>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</si>
  <si>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</si>
  <si>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</si>
  <si>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</si>
  <si>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</si>
  <si>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</si>
  <si>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</si>
  <si>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</si>
  <si>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</si>
  <si>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</si>
  <si>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</si>
  <si>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</si>
  <si>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</si>
  <si>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</si>
  <si>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</si>
  <si>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</si>
  <si>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</si>
  <si>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</si>
  <si>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</si>
  <si>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</si>
  <si>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</si>
  <si>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</si>
  <si>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</si>
  <si>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</si>
  <si>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</si>
  <si>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</si>
  <si>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</si>
  <si>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</si>
  <si>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</si>
  <si>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</si>
  <si>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</si>
  <si>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</si>
  <si>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</si>
  <si>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</si>
  <si>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</si>
  <si>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Gelterfingen</t>
  </si>
  <si>
    <t>Gerzensee</t>
  </si>
  <si>
    <t>Gurzelen</t>
  </si>
  <si>
    <t>Jaberg</t>
  </si>
  <si>
    <t>Kaufdorf</t>
  </si>
  <si>
    <t>Kehrsatz</t>
  </si>
  <si>
    <t>Kirchdorf (BE)</t>
  </si>
  <si>
    <t>Kirchenthurnen</t>
  </si>
  <si>
    <t>Lohnstorf</t>
  </si>
  <si>
    <t>Mühledorf (BE)</t>
  </si>
  <si>
    <t>Mühlethurnen</t>
  </si>
  <si>
    <t>Niedermuhlern</t>
  </si>
  <si>
    <t>Noflen</t>
  </si>
  <si>
    <t>Riggisberg</t>
  </si>
  <si>
    <t>Rüeggisberg</t>
  </si>
  <si>
    <t>Rümligen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</si>
  <si>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</si>
  <si>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</si>
  <si>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</si>
  <si>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</si>
  <si>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</si>
  <si>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</si>
  <si>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</si>
  <si>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</si>
  <si>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</si>
  <si>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</si>
  <si>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</si>
  <si>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</si>
  <si>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</si>
  <si>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</si>
  <si>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</si>
  <si>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</si>
  <si>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</si>
  <si>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</si>
  <si>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</si>
  <si>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</si>
  <si>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</si>
  <si>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</si>
  <si>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</si>
  <si>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</si>
  <si>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</si>
  <si>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</si>
  <si>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</si>
  <si>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Schwendibach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</si>
  <si>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</si>
  <si>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</si>
  <si>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</si>
  <si>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</si>
  <si>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</si>
  <si>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</si>
  <si>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</si>
  <si>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</si>
  <si>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</si>
  <si>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</si>
  <si>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</si>
  <si>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</si>
  <si>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</si>
  <si>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</si>
  <si>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</si>
  <si>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</si>
  <si>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</si>
  <si>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</si>
  <si>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</si>
  <si>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</si>
  <si>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</si>
  <si>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</si>
  <si>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</si>
  <si>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</si>
  <si>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</si>
  <si>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</si>
  <si>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</si>
  <si>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</si>
  <si>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</si>
  <si>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</si>
  <si>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</si>
  <si>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</si>
  <si>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</si>
  <si>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</si>
  <si>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</si>
  <si>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</si>
  <si>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</si>
  <si>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</si>
  <si>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</si>
  <si>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</si>
  <si>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</si>
  <si>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Wolfisberg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</si>
  <si>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</si>
  <si>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</si>
  <si>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</si>
  <si>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</si>
  <si>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</si>
  <si>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</si>
  <si>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</si>
  <si>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</si>
  <si>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</si>
  <si>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</si>
  <si>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</si>
  <si>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</si>
  <si>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</si>
  <si>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</si>
  <si>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</si>
  <si>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</si>
  <si>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</si>
  <si>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</si>
  <si>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</si>
  <si>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</si>
  <si>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</si>
  <si>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</si>
  <si>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</si>
  <si>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</si>
  <si>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</si>
  <si>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</si>
  <si>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</si>
  <si>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</si>
  <si>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</si>
  <si>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</si>
  <si>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</si>
  <si>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</si>
  <si>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</si>
  <si>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</si>
  <si>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</si>
  <si>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</si>
  <si>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</si>
  <si>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</si>
  <si>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</si>
  <si>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</si>
  <si>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</si>
  <si>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</si>
  <si>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</si>
  <si>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</si>
  <si>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</si>
  <si>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</si>
  <si>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</si>
  <si>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</si>
  <si>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</si>
  <si>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</si>
  <si>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</si>
  <si>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</si>
  <si>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</si>
  <si>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</si>
  <si>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</si>
  <si>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</si>
  <si>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</si>
  <si>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</si>
  <si>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</si>
  <si>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</si>
  <si>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</si>
  <si>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</si>
  <si>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</si>
  <si>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</si>
  <si>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Ebersecken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</si>
  <si>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</si>
  <si>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</si>
  <si>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</si>
  <si>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</si>
  <si>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</si>
  <si>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</si>
  <si>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</si>
  <si>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</si>
  <si>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</si>
  <si>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</si>
  <si>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</si>
  <si>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</si>
  <si>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</si>
  <si>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</si>
  <si>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</si>
  <si>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</si>
  <si>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</si>
  <si>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</si>
  <si>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</si>
  <si>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</si>
  <si>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</si>
  <si>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</si>
  <si>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</si>
  <si>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</si>
  <si>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</si>
  <si>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</si>
  <si>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</si>
  <si>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</si>
  <si>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</si>
  <si>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</si>
  <si>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</si>
  <si>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</si>
  <si>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</si>
  <si>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</si>
  <si>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</si>
  <si>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</si>
  <si>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</si>
  <si>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</si>
  <si>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</si>
  <si>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</si>
  <si>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</si>
  <si>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</si>
  <si>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</si>
  <si>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</si>
  <si>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</si>
  <si>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</si>
  <si>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</si>
  <si>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</si>
  <si>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</si>
  <si>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</si>
  <si>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</si>
  <si>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</si>
  <si>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</si>
  <si>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</si>
  <si>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</si>
  <si>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</si>
  <si>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</si>
  <si>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</si>
  <si>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</si>
  <si>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</si>
  <si>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</si>
  <si>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</si>
  <si>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</si>
  <si>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</si>
  <si>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</si>
  <si>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</si>
  <si>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</si>
  <si>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</si>
  <si>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</si>
  <si>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</si>
  <si>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</si>
  <si>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</si>
  <si>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</si>
  <si>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</si>
  <si>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</si>
  <si>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</si>
  <si>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</si>
  <si>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</si>
  <si>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</si>
  <si>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</si>
  <si>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</si>
  <si>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</si>
  <si>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</si>
  <si>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</si>
  <si>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</si>
  <si>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</si>
  <si>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</si>
  <si>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</si>
  <si>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</si>
  <si>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</si>
  <si>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</si>
  <si>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</si>
  <si>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</si>
  <si>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</si>
  <si>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</si>
  <si>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</si>
  <si>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</si>
  <si>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</si>
  <si>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</si>
  <si>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</si>
  <si>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</si>
  <si>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</si>
  <si>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</si>
  <si>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</si>
  <si>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</si>
  <si>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</si>
  <si>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</si>
  <si>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</si>
  <si>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</si>
  <si>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</si>
  <si>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</si>
  <si>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</si>
  <si>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</si>
  <si>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</si>
  <si>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</si>
  <si>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</si>
  <si>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</si>
  <si>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</si>
  <si>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</si>
  <si>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</si>
  <si>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</si>
  <si>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</si>
  <si>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</si>
  <si>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</si>
  <si>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</si>
  <si>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</si>
  <si>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</si>
  <si>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</si>
  <si>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</si>
  <si>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</si>
  <si>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</si>
  <si>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</si>
  <si>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</si>
  <si>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Villaz-Saint-Pierre</t>
  </si>
  <si>
    <t>Vuisternens-devant-Romont</t>
  </si>
  <si>
    <t>Villorsonnens</t>
  </si>
  <si>
    <t>Torny</t>
  </si>
  <si>
    <t>La Folliaz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</si>
  <si>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</si>
  <si>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</si>
  <si>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</si>
  <si>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</si>
  <si>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</si>
  <si>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</si>
  <si>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</si>
  <si>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</si>
  <si>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</si>
  <si>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</si>
  <si>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</si>
  <si>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</si>
  <si>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</si>
  <si>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</si>
  <si>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</si>
  <si>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</si>
  <si>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</si>
  <si>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</si>
  <si>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</si>
  <si>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</si>
  <si>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</si>
  <si>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</si>
  <si>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</si>
  <si>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</si>
  <si>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</si>
  <si>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</si>
  <si>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</si>
  <si>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</si>
  <si>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</si>
  <si>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</si>
  <si>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Corminboeuf</t>
  </si>
  <si>
    <t>Corserey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</si>
  <si>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</si>
  <si>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</si>
  <si>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</si>
  <si>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</si>
  <si>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</si>
  <si>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</si>
  <si>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</si>
  <si>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</si>
  <si>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</si>
  <si>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</si>
  <si>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Noréaz</t>
  </si>
  <si>
    <t>Pierrafortscha</t>
  </si>
  <si>
    <t>Ponthaux</t>
  </si>
  <si>
    <t>Le Mouret</t>
  </si>
  <si>
    <t>Prez-vers-Noréaz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</si>
  <si>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</si>
  <si>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</si>
  <si>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</si>
  <si>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</si>
  <si>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</si>
  <si>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</si>
  <si>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</si>
  <si>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</si>
  <si>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</si>
  <si>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</si>
  <si>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</si>
  <si>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</si>
  <si>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</si>
  <si>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</si>
  <si>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</si>
  <si>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</si>
  <si>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</si>
  <si>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</si>
  <si>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</si>
  <si>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</si>
  <si>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</si>
  <si>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</si>
  <si>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</si>
  <si>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</si>
  <si>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</si>
  <si>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</si>
  <si>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</si>
  <si>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</si>
  <si>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</si>
  <si>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</si>
  <si>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</si>
  <si>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</si>
  <si>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</si>
  <si>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</si>
  <si>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</si>
  <si>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</si>
  <si>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</si>
  <si>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</si>
  <si>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</si>
  <si>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</si>
  <si>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</si>
  <si>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</si>
  <si>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</si>
  <si>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</si>
  <si>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</si>
  <si>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</si>
  <si>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</si>
  <si>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</si>
  <si>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</si>
  <si>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</si>
  <si>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</si>
  <si>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</si>
  <si>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</si>
  <si>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</si>
  <si>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</si>
  <si>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</si>
  <si>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</si>
  <si>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</si>
  <si>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</si>
  <si>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</si>
  <si>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</si>
  <si>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</si>
  <si>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</si>
  <si>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</si>
  <si>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</si>
  <si>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</si>
  <si>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</si>
  <si>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</si>
  <si>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</si>
  <si>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</si>
  <si>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</si>
  <si>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</si>
  <si>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</si>
  <si>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</si>
  <si>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</si>
  <si>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</si>
  <si>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</si>
  <si>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</si>
  <si>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</si>
  <si>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</si>
  <si>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</si>
  <si>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</si>
  <si>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</si>
  <si>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</si>
  <si>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</si>
  <si>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</si>
  <si>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</si>
  <si>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</si>
  <si>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</si>
  <si>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</si>
  <si>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</si>
  <si>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</si>
  <si>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</si>
  <si>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</si>
  <si>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</si>
  <si>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</si>
  <si>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</si>
  <si>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</si>
  <si>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</si>
  <si>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</si>
  <si>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</si>
  <si>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</si>
  <si>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</si>
  <si>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</si>
  <si>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</si>
  <si>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</si>
  <si>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</si>
  <si>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</si>
  <si>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</si>
  <si>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</si>
  <si>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</si>
  <si>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</si>
  <si>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</si>
  <si>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</si>
  <si>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</si>
  <si>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</si>
  <si>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</si>
  <si>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</si>
  <si>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</si>
  <si>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</si>
  <si>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</si>
  <si>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</si>
  <si>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</si>
  <si>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</si>
  <si>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</si>
  <si>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</si>
  <si>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</si>
  <si>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</si>
  <si>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</si>
  <si>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</si>
  <si>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</si>
  <si>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</si>
  <si>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</si>
  <si>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</si>
  <si>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</si>
  <si>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</si>
  <si>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</si>
  <si>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</si>
  <si>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</si>
  <si>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</si>
  <si>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</si>
  <si>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</si>
  <si>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</si>
  <si>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</si>
  <si>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</si>
  <si>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</si>
  <si>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</si>
  <si>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</si>
  <si>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</si>
  <si>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</si>
  <si>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</si>
  <si>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</si>
  <si>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</si>
  <si>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</si>
  <si>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</si>
  <si>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</si>
  <si>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</si>
  <si>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</si>
  <si>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</si>
  <si>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</si>
  <si>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</si>
  <si>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</si>
  <si>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</si>
  <si>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</si>
  <si>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</si>
  <si>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</si>
  <si>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</si>
  <si>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</si>
  <si>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</si>
  <si>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</si>
  <si>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</si>
  <si>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</si>
  <si>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</si>
  <si>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</si>
  <si>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</si>
  <si>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</si>
  <si>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</si>
  <si>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</si>
  <si>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</si>
  <si>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</si>
  <si>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</si>
  <si>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</si>
  <si>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</si>
  <si>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</si>
  <si>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</si>
  <si>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</si>
  <si>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</si>
  <si>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</si>
  <si>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</si>
  <si>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</si>
  <si>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</si>
  <si>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</si>
  <si>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</si>
  <si>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</si>
  <si>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</si>
  <si>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</si>
  <si>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</si>
  <si>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</si>
  <si>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</si>
  <si>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</si>
  <si>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</si>
  <si>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</si>
  <si>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</si>
  <si>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</si>
  <si>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</si>
  <si>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</si>
  <si>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</si>
  <si>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</si>
  <si>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</si>
  <si>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</si>
  <si>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</si>
  <si>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</si>
  <si>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</si>
  <si>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</si>
  <si>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</si>
  <si>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</si>
  <si>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</si>
  <si>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</si>
  <si>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</si>
  <si>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</si>
  <si>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</si>
  <si>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</si>
  <si>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</si>
  <si>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</si>
  <si>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</si>
  <si>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</si>
  <si>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</si>
  <si>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</si>
  <si>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</si>
  <si>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</si>
  <si>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</si>
  <si>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</si>
  <si>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</si>
  <si>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</si>
  <si>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</si>
  <si>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</si>
  <si>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</si>
  <si>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</si>
  <si>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</si>
  <si>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</si>
  <si>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</si>
  <si>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</si>
  <si>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</si>
  <si>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</si>
  <si>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</si>
  <si>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</si>
  <si>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</si>
  <si>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</si>
  <si>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</si>
  <si>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</si>
  <si>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</si>
  <si>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</si>
  <si>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</si>
  <si>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</si>
  <si>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</si>
  <si>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</si>
  <si>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</si>
  <si>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</si>
  <si>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</si>
  <si>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</si>
  <si>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</si>
  <si>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</si>
  <si>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</si>
  <si>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</si>
  <si>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</si>
  <si>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</si>
  <si>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</si>
  <si>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</si>
  <si>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</si>
  <si>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</si>
  <si>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</si>
  <si>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</si>
  <si>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</si>
  <si>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</si>
  <si>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</si>
  <si>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</si>
  <si>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</si>
  <si>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</si>
  <si>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</si>
  <si>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</si>
  <si>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</si>
  <si>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</si>
  <si>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</si>
  <si>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</si>
  <si>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</si>
  <si>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</si>
  <si>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</si>
  <si>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</si>
  <si>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</si>
  <si>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</si>
  <si>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</si>
  <si>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</si>
  <si>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</si>
  <si>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</si>
  <si>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</si>
  <si>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</si>
  <si>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</si>
  <si>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</si>
  <si>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</si>
  <si>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</si>
  <si>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</si>
  <si>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</si>
  <si>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</si>
  <si>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</si>
  <si>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</si>
  <si>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</si>
  <si>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</si>
  <si>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</si>
  <si>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</si>
  <si>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</si>
  <si>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</si>
  <si>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</si>
  <si>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</si>
  <si>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</si>
  <si>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</si>
  <si>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</si>
  <si>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</si>
  <si>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</si>
  <si>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</si>
  <si>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</si>
  <si>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</si>
  <si>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</si>
  <si>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</si>
  <si>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</si>
  <si>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</si>
  <si>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</si>
  <si>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</si>
  <si>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</si>
  <si>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</si>
  <si>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</si>
  <si>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</si>
  <si>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</si>
  <si>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</si>
  <si>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</si>
  <si>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</si>
  <si>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</si>
  <si>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</si>
  <si>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</si>
  <si>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</si>
  <si>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</si>
  <si>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</si>
  <si>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</si>
  <si>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</si>
  <si>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</si>
  <si>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</si>
  <si>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</si>
  <si>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</si>
  <si>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</si>
  <si>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</si>
  <si>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</si>
  <si>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</si>
  <si>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</si>
  <si>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</si>
  <si>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</si>
  <si>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</si>
  <si>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</si>
  <si>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</si>
  <si>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</si>
  <si>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</si>
  <si>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</si>
  <si>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</si>
  <si>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</si>
  <si>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</si>
  <si>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</si>
  <si>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</si>
  <si>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</si>
  <si>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</si>
  <si>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</si>
  <si>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</si>
  <si>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</si>
  <si>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</si>
  <si>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</si>
  <si>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</si>
  <si>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</si>
  <si>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</si>
  <si>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</si>
  <si>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</si>
  <si>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</si>
  <si>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Mutten</t>
  </si>
  <si>
    <t>Vaz/Obervaz</t>
  </si>
  <si>
    <t>Lantsch/Lenz</t>
  </si>
  <si>
    <t>Schmitten (GR)</t>
  </si>
  <si>
    <t>Bergün/Bravuogn</t>
  </si>
  <si>
    <t>Filisur</t>
  </si>
  <si>
    <t>Albula/Alvra</t>
  </si>
  <si>
    <t>Surses</t>
  </si>
  <si>
    <t>Brusio</t>
  </si>
  <si>
    <t>Poschiavo</t>
  </si>
  <si>
    <t>Falera</t>
  </si>
  <si>
    <t>Laax</t>
  </si>
  <si>
    <t>Sagogn</t>
  </si>
  <si>
    <t>Schluein</t>
  </si>
  <si>
    <t>Vals</t>
  </si>
  <si>
    <t>Andiast</t>
  </si>
  <si>
    <t>Waltensburg/Vuorz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</si>
  <si>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</si>
  <si>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</si>
  <si>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</si>
  <si>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</si>
  <si>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</si>
  <si>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</si>
  <si>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</si>
  <si>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</si>
  <si>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</si>
  <si>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</si>
  <si>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</si>
  <si>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</si>
  <si>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</si>
  <si>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</si>
  <si>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</si>
  <si>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Hinterrhein</t>
  </si>
  <si>
    <t>Nufenen</t>
  </si>
  <si>
    <t>Splügen</t>
  </si>
  <si>
    <t>Sufers</t>
  </si>
  <si>
    <t>Andeer</t>
  </si>
  <si>
    <t>Casti-Wergenstein</t>
  </si>
  <si>
    <t>Donat</t>
  </si>
  <si>
    <t>Lohn (GR)</t>
  </si>
  <si>
    <t>Mathon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</si>
  <si>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</si>
  <si>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</si>
  <si>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</si>
  <si>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</si>
  <si>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</si>
  <si>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</si>
  <si>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</si>
  <si>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</si>
  <si>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</si>
  <si>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</si>
  <si>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</si>
  <si>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</si>
  <si>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</si>
  <si>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</si>
  <si>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</si>
  <si>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</si>
  <si>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</si>
  <si>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</si>
  <si>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</si>
  <si>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</si>
  <si>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</si>
  <si>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</si>
  <si>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</si>
  <si>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</si>
  <si>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</si>
  <si>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</si>
  <si>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</si>
  <si>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</si>
  <si>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</si>
  <si>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</si>
  <si>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</si>
  <si>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</si>
  <si>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</si>
  <si>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</si>
  <si>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</si>
  <si>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</si>
  <si>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</si>
  <si>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Calanca</t>
  </si>
  <si>
    <t>Val Müstair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</si>
  <si>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</si>
  <si>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</si>
  <si>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</si>
  <si>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</si>
  <si>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</si>
  <si>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</si>
  <si>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</si>
  <si>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Luzein</t>
  </si>
  <si>
    <t>Chur</t>
  </si>
  <si>
    <t>Churwalden</t>
  </si>
  <si>
    <t>Arosa</t>
  </si>
  <si>
    <t>Maladers</t>
  </si>
  <si>
    <t>Tschiertschen-Praden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</si>
  <si>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</si>
  <si>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</si>
  <si>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</si>
  <si>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</si>
  <si>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</si>
  <si>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</si>
  <si>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</si>
  <si>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</si>
  <si>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</si>
  <si>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</si>
  <si>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</si>
  <si>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</si>
  <si>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</si>
  <si>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</si>
  <si>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</si>
  <si>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</si>
  <si>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</si>
  <si>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</si>
  <si>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</si>
  <si>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</si>
  <si>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</si>
  <si>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</si>
  <si>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</si>
  <si>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</si>
  <si>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</si>
  <si>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</si>
  <si>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</si>
  <si>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</si>
  <si>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</si>
  <si>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</si>
  <si>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</si>
  <si>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</si>
  <si>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</si>
  <si>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</si>
  <si>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</si>
  <si>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</si>
  <si>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</si>
  <si>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</si>
  <si>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</si>
  <si>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</si>
  <si>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</si>
  <si>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</si>
  <si>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</si>
  <si>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</si>
  <si>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</si>
  <si>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</si>
  <si>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</si>
  <si>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</si>
  <si>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</si>
  <si>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</si>
  <si>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</si>
  <si>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</si>
  <si>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</si>
  <si>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</si>
  <si>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</si>
  <si>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</si>
  <si>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</si>
  <si>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</si>
  <si>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</si>
  <si>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</si>
  <si>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</si>
  <si>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</si>
  <si>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</si>
  <si>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</si>
  <si>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</si>
  <si>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</si>
  <si>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</si>
  <si>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</si>
  <si>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</si>
  <si>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</si>
  <si>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</si>
  <si>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</si>
  <si>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</si>
  <si>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</si>
  <si>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</si>
  <si>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</si>
  <si>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</si>
  <si>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</si>
  <si>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</si>
  <si>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</si>
  <si>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</si>
  <si>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</si>
  <si>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</si>
  <si>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</si>
  <si>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</si>
  <si>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</si>
  <si>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</si>
  <si>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</si>
  <si>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</si>
  <si>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</si>
  <si>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</si>
  <si>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</si>
  <si>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</si>
  <si>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</si>
  <si>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</si>
  <si>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Scherz</t>
  </si>
  <si>
    <t>Schinznach-Bad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</si>
  <si>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</si>
  <si>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</si>
  <si>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</si>
  <si>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</si>
  <si>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</si>
  <si>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</si>
  <si>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</si>
  <si>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</si>
  <si>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</si>
  <si>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</si>
  <si>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</si>
  <si>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</si>
  <si>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</si>
  <si>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</si>
  <si>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</si>
  <si>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</si>
  <si>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</si>
  <si>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</si>
  <si>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</si>
  <si>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</si>
  <si>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</si>
  <si>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</si>
  <si>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</si>
  <si>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</si>
  <si>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</si>
  <si>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</si>
  <si>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</si>
  <si>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</si>
  <si>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</si>
  <si>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</si>
  <si>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</si>
  <si>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</si>
  <si>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</si>
  <si>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</si>
  <si>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</si>
  <si>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</si>
  <si>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</si>
  <si>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</si>
  <si>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</si>
  <si>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</si>
  <si>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</si>
  <si>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</si>
  <si>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</si>
  <si>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</si>
  <si>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</si>
  <si>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</si>
  <si>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</si>
  <si>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</si>
  <si>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</si>
  <si>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</si>
  <si>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</si>
  <si>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</si>
  <si>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</si>
  <si>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</si>
  <si>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</si>
  <si>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</si>
  <si>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</si>
  <si>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</si>
  <si>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</si>
  <si>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</si>
  <si>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</si>
  <si>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</si>
  <si>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</si>
  <si>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</si>
  <si>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</si>
  <si>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</si>
  <si>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</si>
  <si>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</si>
  <si>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</si>
  <si>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</si>
  <si>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</si>
  <si>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</si>
  <si>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</si>
  <si>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</si>
  <si>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</si>
  <si>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</si>
  <si>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</si>
  <si>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</si>
  <si>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</si>
  <si>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</si>
  <si>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</si>
  <si>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</si>
  <si>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</si>
  <si>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</si>
  <si>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</si>
  <si>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</si>
  <si>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</si>
  <si>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</si>
  <si>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</si>
  <si>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</si>
  <si>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</si>
  <si>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</si>
  <si>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</si>
  <si>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</si>
  <si>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</si>
  <si>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</si>
  <si>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Attelwil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</si>
  <si>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</si>
  <si>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</si>
  <si>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</si>
  <si>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</si>
  <si>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</si>
  <si>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</si>
  <si>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</si>
  <si>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</si>
  <si>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</si>
  <si>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</si>
  <si>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</si>
  <si>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</si>
  <si>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</si>
  <si>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</si>
  <si>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</si>
  <si>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</si>
  <si>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</si>
  <si>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</si>
  <si>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</si>
  <si>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</si>
  <si>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</si>
  <si>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</si>
  <si>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</si>
  <si>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</si>
  <si>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</si>
  <si>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</si>
  <si>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</si>
  <si>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</si>
  <si>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</si>
  <si>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</si>
  <si>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</si>
  <si>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</si>
  <si>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</si>
  <si>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</si>
  <si>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</si>
  <si>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</si>
  <si>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</si>
  <si>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</si>
  <si>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</si>
  <si>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</si>
  <si>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</si>
  <si>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</si>
  <si>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</si>
  <si>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</si>
  <si>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</si>
  <si>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</si>
  <si>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</si>
  <si>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</si>
  <si>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</si>
  <si>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</si>
  <si>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</si>
  <si>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</si>
  <si>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</si>
  <si>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</si>
  <si>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</si>
  <si>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</si>
  <si>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</si>
  <si>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</si>
  <si>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</si>
  <si>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</si>
  <si>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</si>
  <si>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</si>
  <si>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</si>
  <si>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</si>
  <si>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</si>
  <si>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</si>
  <si>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</si>
  <si>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</si>
  <si>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</si>
  <si>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</si>
  <si>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</si>
  <si>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</si>
  <si>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</si>
  <si>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</si>
  <si>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</si>
  <si>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</si>
  <si>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</si>
  <si>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</si>
  <si>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</si>
  <si>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</si>
  <si>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</si>
  <si>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</si>
  <si>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</si>
  <si>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</si>
  <si>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</si>
  <si>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</si>
  <si>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</si>
  <si>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</si>
  <si>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</si>
  <si>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</si>
  <si>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</si>
  <si>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</si>
  <si>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</si>
  <si>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</si>
  <si>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</si>
  <si>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</si>
  <si>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</si>
  <si>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</si>
  <si>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</si>
  <si>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</si>
  <si>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</si>
  <si>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</si>
  <si>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</si>
  <si>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</si>
  <si>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</si>
  <si>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</si>
  <si>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</si>
  <si>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</si>
  <si>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</si>
  <si>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</si>
  <si>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</si>
  <si>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</si>
  <si>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</si>
  <si>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</si>
  <si>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</si>
  <si>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</si>
  <si>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</si>
  <si>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</si>
  <si>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</si>
  <si>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</si>
  <si>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</si>
  <si>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Camorino</t>
  </si>
  <si>
    <t>Giubiasco</t>
  </si>
  <si>
    <t>Gnosca</t>
  </si>
  <si>
    <t>Gorduno</t>
  </si>
  <si>
    <t>Gudo</t>
  </si>
  <si>
    <t>Isone</t>
  </si>
  <si>
    <t>Lumino</t>
  </si>
  <si>
    <t>Moleno</t>
  </si>
  <si>
    <t>Monte Carasso</t>
  </si>
  <si>
    <t>Pianezzo</t>
  </si>
  <si>
    <t>Preonzo</t>
  </si>
  <si>
    <t>Sant'Antonino</t>
  </si>
  <si>
    <t>Sant'Antonio</t>
  </si>
  <si>
    <t>Sementina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</si>
  <si>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</si>
  <si>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</si>
  <si>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</si>
  <si>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</si>
  <si>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</si>
  <si>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</si>
  <si>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</si>
  <si>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</si>
  <si>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</si>
  <si>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</si>
  <si>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</si>
  <si>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</si>
  <si>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</si>
  <si>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</si>
  <si>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(Verzasca)</t>
  </si>
  <si>
    <t>Brione sopra Minusio</t>
  </si>
  <si>
    <t>Brissago</t>
  </si>
  <si>
    <t>Corippo</t>
  </si>
  <si>
    <t>Frasco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</si>
  <si>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</si>
  <si>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</si>
  <si>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</si>
  <si>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</si>
  <si>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</si>
  <si>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</si>
  <si>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</si>
  <si>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</si>
  <si>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</si>
  <si>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Sonogno</t>
  </si>
  <si>
    <t>Tenero-Contra</t>
  </si>
  <si>
    <t>Vogorno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</si>
  <si>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</si>
  <si>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</si>
  <si>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</si>
  <si>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</si>
  <si>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</si>
  <si>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</si>
  <si>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</si>
  <si>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</si>
  <si>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</si>
  <si>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</si>
  <si>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</si>
  <si>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</si>
  <si>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</si>
  <si>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</si>
  <si>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</si>
  <si>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</si>
  <si>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</si>
  <si>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</si>
  <si>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</si>
  <si>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</si>
  <si>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</si>
  <si>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</si>
  <si>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</si>
  <si>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</si>
  <si>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</si>
  <si>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</si>
  <si>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</si>
  <si>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</si>
  <si>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</si>
  <si>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</si>
  <si>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</si>
  <si>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</si>
  <si>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</si>
  <si>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</si>
  <si>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</si>
  <si>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</si>
  <si>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</si>
  <si>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</si>
  <si>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</si>
  <si>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</si>
  <si>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</si>
  <si>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</si>
  <si>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</si>
  <si>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</si>
  <si>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</si>
  <si>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</si>
  <si>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</si>
  <si>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</si>
  <si>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</si>
  <si>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</si>
  <si>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</si>
  <si>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</si>
  <si>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</si>
  <si>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</si>
  <si>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</si>
  <si>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</si>
  <si>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</si>
  <si>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</si>
  <si>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</si>
  <si>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</si>
  <si>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</si>
  <si>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</si>
  <si>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</si>
  <si>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</si>
  <si>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</si>
  <si>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</si>
  <si>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Claro</t>
  </si>
  <si>
    <t>Cresciano</t>
  </si>
  <si>
    <t>Iragna</t>
  </si>
  <si>
    <t>Lodrino</t>
  </si>
  <si>
    <t>Osogna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</si>
  <si>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</si>
  <si>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</si>
  <si>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</si>
  <si>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</si>
  <si>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</si>
  <si>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</si>
  <si>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</si>
  <si>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</si>
  <si>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</si>
  <si>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</si>
  <si>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</si>
  <si>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</si>
  <si>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</si>
  <si>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</si>
  <si>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</si>
  <si>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</si>
  <si>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</si>
  <si>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</si>
  <si>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</si>
  <si>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</si>
  <si>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</si>
  <si>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</si>
  <si>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</si>
  <si>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</si>
  <si>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</si>
  <si>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</si>
  <si>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</si>
  <si>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</si>
  <si>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</si>
  <si>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</si>
  <si>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</si>
  <si>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</si>
  <si>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</si>
  <si>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</si>
  <si>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</si>
  <si>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</si>
  <si>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</si>
  <si>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</si>
  <si>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</si>
  <si>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</si>
  <si>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</si>
  <si>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</si>
  <si>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</si>
  <si>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</si>
  <si>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</si>
  <si>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</si>
  <si>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</si>
  <si>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</si>
  <si>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</si>
  <si>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</si>
  <si>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</si>
  <si>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</si>
  <si>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</si>
  <si>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</si>
  <si>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</si>
  <si>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</si>
  <si>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</si>
  <si>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</si>
  <si>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</si>
  <si>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</si>
  <si>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</si>
  <si>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</si>
  <si>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</si>
  <si>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</si>
  <si>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</si>
  <si>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</si>
  <si>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</si>
  <si>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</si>
  <si>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</si>
  <si>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</si>
  <si>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</si>
  <si>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</si>
  <si>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</si>
  <si>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</si>
  <si>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</si>
  <si>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</si>
  <si>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</si>
  <si>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</si>
  <si>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</si>
  <si>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</si>
  <si>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</si>
  <si>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</si>
  <si>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</si>
  <si>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</si>
  <si>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</si>
  <si>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</si>
  <si>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</si>
  <si>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</si>
  <si>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</si>
  <si>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</si>
  <si>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</si>
  <si>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</si>
  <si>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</si>
  <si>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</si>
  <si>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</si>
  <si>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</si>
  <si>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</si>
  <si>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</si>
  <si>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</si>
  <si>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</si>
  <si>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</si>
  <si>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</si>
  <si>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</si>
  <si>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</si>
  <si>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</si>
  <si>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</si>
  <si>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</si>
  <si>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</si>
  <si>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</si>
  <si>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</si>
  <si>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</si>
  <si>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</si>
  <si>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</si>
  <si>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</si>
  <si>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</si>
  <si>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</si>
  <si>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</si>
  <si>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</si>
  <si>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</si>
  <si>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</si>
  <si>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</si>
  <si>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</si>
  <si>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</si>
  <si>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</si>
  <si>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</si>
  <si>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</si>
  <si>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</si>
  <si>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</si>
  <si>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</si>
  <si>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</si>
  <si>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</si>
  <si>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</si>
  <si>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</si>
  <si>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</si>
  <si>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</si>
  <si>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</si>
  <si>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</si>
  <si>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</si>
  <si>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</si>
  <si>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</si>
  <si>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</si>
  <si>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</si>
  <si>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</si>
  <si>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</si>
  <si>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</si>
  <si>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</si>
  <si>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</si>
  <si>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</si>
  <si>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</si>
  <si>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</si>
  <si>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</si>
  <si>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</si>
  <si>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</si>
  <si>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</si>
  <si>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</si>
  <si>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</si>
  <si>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</si>
  <si>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</si>
  <si>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</si>
  <si>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</si>
  <si>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</si>
  <si>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</si>
  <si>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</si>
  <si>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</si>
  <si>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</si>
  <si>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</si>
  <si>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</si>
  <si>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</si>
  <si>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</si>
  <si>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</si>
  <si>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</si>
  <si>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</si>
  <si>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</si>
  <si>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</si>
  <si>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</si>
  <si>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</si>
  <si>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</si>
  <si>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</si>
  <si>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</si>
  <si>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</si>
  <si>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</si>
  <si>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</si>
  <si>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</si>
  <si>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</si>
  <si>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</si>
  <si>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</si>
  <si>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</si>
  <si>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</si>
  <si>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</si>
  <si>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</si>
  <si>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</si>
  <si>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</si>
  <si>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</si>
  <si>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</si>
  <si>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</si>
  <si>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</si>
  <si>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</si>
  <si>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</si>
  <si>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</si>
  <si>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</si>
  <si>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</si>
  <si>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</si>
  <si>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</si>
  <si>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</si>
  <si>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</si>
  <si>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</si>
  <si>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</si>
  <si>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</si>
  <si>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</si>
  <si>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</si>
  <si>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</si>
  <si>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</si>
  <si>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</si>
  <si>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</si>
  <si>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</si>
  <si>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</si>
  <si>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</si>
  <si>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</si>
  <si>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</si>
  <si>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</si>
  <si>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</si>
  <si>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</si>
  <si>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</si>
  <si>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</si>
  <si>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</si>
  <si>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</si>
  <si>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</si>
  <si>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</si>
  <si>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</si>
  <si>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</si>
  <si>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</si>
  <si>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</si>
  <si>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</si>
  <si>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</si>
  <si>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</si>
  <si>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</si>
  <si>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</si>
  <si>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</si>
  <si>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</si>
  <si>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</si>
  <si>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</si>
  <si>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Essertes</t>
  </si>
  <si>
    <t>Maracon</t>
  </si>
  <si>
    <t>Montpreveyres</t>
  </si>
  <si>
    <t>Ropraz</t>
  </si>
  <si>
    <t>Servion</t>
  </si>
  <si>
    <t>Vulliens</t>
  </si>
  <si>
    <t>Jorat-Menthue</t>
  </si>
  <si>
    <t>Oron</t>
  </si>
  <si>
    <t>Jorat-Mézières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</si>
  <si>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</si>
  <si>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</si>
  <si>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</si>
  <si>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</si>
  <si>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</si>
  <si>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</si>
  <si>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</si>
  <si>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</si>
  <si>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</si>
  <si>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</si>
  <si>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</si>
  <si>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</si>
  <si>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</si>
  <si>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</si>
  <si>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</si>
  <si>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</si>
  <si>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</si>
  <si>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</si>
  <si>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</si>
  <si>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</si>
  <si>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</si>
  <si>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</si>
  <si>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</si>
  <si>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</si>
  <si>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</si>
  <si>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</si>
  <si>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</si>
  <si>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</si>
  <si>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</si>
  <si>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</si>
  <si>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</si>
  <si>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</si>
  <si>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</si>
  <si>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</si>
  <si>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</si>
  <si>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</si>
  <si>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</si>
  <si>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</si>
  <si>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</si>
  <si>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</si>
  <si>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</si>
  <si>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</si>
  <si>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</si>
  <si>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</si>
  <si>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</si>
  <si>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</si>
  <si>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</si>
  <si>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</si>
  <si>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</si>
  <si>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</si>
  <si>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</si>
  <si>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</si>
  <si>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</si>
  <si>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</si>
  <si>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</si>
  <si>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</si>
  <si>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</si>
  <si>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</si>
  <si>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</si>
  <si>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</si>
  <si>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</si>
  <si>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</si>
  <si>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</si>
  <si>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</si>
  <si>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</si>
  <si>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</si>
  <si>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</si>
  <si>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</si>
  <si>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</si>
  <si>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</si>
  <si>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</si>
  <si>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</si>
  <si>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</si>
  <si>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</si>
  <si>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</si>
  <si>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</si>
  <si>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</si>
  <si>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</si>
  <si>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</si>
  <si>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</si>
  <si>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</si>
  <si>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</si>
  <si>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</si>
  <si>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</si>
  <si>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</si>
  <si>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</si>
  <si>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</si>
  <si>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</si>
  <si>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</si>
  <si>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</si>
  <si>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Ernen</t>
  </si>
  <si>
    <t>Fiesch</t>
  </si>
  <si>
    <t>Fieschertal</t>
  </si>
  <si>
    <t>Lax</t>
  </si>
  <si>
    <t>Obergoms</t>
  </si>
  <si>
    <t>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</si>
  <si>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</si>
  <si>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</si>
  <si>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</si>
  <si>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</si>
  <si>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</si>
  <si>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</si>
  <si>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</si>
  <si>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</si>
  <si>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</si>
  <si>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</si>
  <si>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</si>
  <si>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</si>
  <si>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</si>
  <si>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</si>
  <si>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</si>
  <si>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</si>
  <si>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</si>
  <si>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</si>
  <si>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</si>
  <si>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</si>
  <si>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</si>
  <si>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</si>
  <si>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</si>
  <si>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</si>
  <si>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</si>
  <si>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</si>
  <si>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</si>
  <si>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</si>
  <si>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</si>
  <si>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</si>
  <si>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</si>
  <si>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</si>
  <si>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</si>
  <si>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</si>
  <si>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</si>
  <si>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</si>
  <si>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</si>
  <si>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</si>
  <si>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</si>
  <si>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</si>
  <si>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</si>
  <si>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</si>
  <si>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</si>
  <si>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</si>
  <si>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</si>
  <si>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</si>
  <si>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</si>
  <si>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</si>
  <si>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</si>
  <si>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</si>
  <si>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</si>
  <si>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</si>
  <si>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</si>
  <si>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</si>
  <si>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</si>
  <si>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</si>
  <si>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</si>
  <si>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</si>
  <si>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</si>
  <si>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</si>
  <si>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</si>
  <si>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</si>
  <si>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</si>
  <si>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</si>
  <si>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</si>
  <si>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</si>
  <si>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</si>
  <si>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</si>
  <si>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</si>
  <si>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Miège</t>
  </si>
  <si>
    <t>Saint-Léonard</t>
  </si>
  <si>
    <t>Sierre</t>
  </si>
  <si>
    <t>Venthône</t>
  </si>
  <si>
    <t>Veyras</t>
  </si>
  <si>
    <t>Anniviers</t>
  </si>
  <si>
    <t>Crans-Montana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</si>
  <si>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</si>
  <si>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</si>
  <si>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</si>
  <si>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</si>
  <si>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</si>
  <si>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</si>
  <si>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</si>
  <si>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</si>
  <si>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</si>
  <si>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</si>
  <si>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</si>
  <si>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</si>
  <si>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</si>
  <si>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</si>
  <si>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</si>
  <si>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</si>
  <si>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</si>
  <si>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</si>
  <si>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</si>
  <si>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</si>
  <si>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</si>
  <si>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</si>
  <si>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</si>
  <si>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</si>
  <si>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Bevaix</t>
  </si>
  <si>
    <t>Boudry</t>
  </si>
  <si>
    <t>Corcelles-Cormondrèche</t>
  </si>
  <si>
    <t>Cortaillod</t>
  </si>
  <si>
    <t>Fresens</t>
  </si>
  <si>
    <t>Gorgier</t>
  </si>
  <si>
    <t>Montalchez</t>
  </si>
  <si>
    <t>Peseux</t>
  </si>
  <si>
    <t>Rochefort</t>
  </si>
  <si>
    <t>Saint-Aubin-Sauges</t>
  </si>
  <si>
    <t>Vaumarcus</t>
  </si>
  <si>
    <t>Milvignes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</si>
  <si>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</si>
  <si>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</si>
  <si>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</si>
  <si>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</si>
  <si>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</si>
  <si>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</si>
  <si>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</si>
  <si>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</si>
  <si>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</si>
  <si>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</si>
  <si>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</si>
  <si>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</si>
  <si>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</si>
  <si>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</si>
  <si>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</si>
  <si>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</si>
  <si>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</si>
  <si>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</si>
  <si>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</si>
  <si>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</si>
  <si>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</si>
  <si>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</si>
  <si>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</si>
  <si>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</si>
  <si>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</si>
  <si>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</si>
  <si>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</si>
  <si>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</si>
  <si>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</si>
  <si>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</si>
  <si>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</si>
  <si>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</si>
  <si>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</si>
  <si>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</si>
  <si>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</si>
  <si>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</si>
  <si>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</si>
  <si>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</si>
  <si>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</si>
  <si>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</si>
  <si>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</si>
  <si>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</si>
  <si>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</si>
  <si>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</si>
  <si>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</si>
  <si>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</si>
  <si>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</si>
  <si>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</si>
  <si>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</si>
  <si>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</si>
  <si>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</si>
  <si>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</si>
  <si>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</si>
  <si>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</si>
  <si>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</si>
  <si>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</si>
  <si>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</si>
  <si>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</si>
  <si>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</si>
  <si>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</si>
  <si>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</si>
  <si>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</si>
  <si>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</si>
  <si>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</si>
  <si>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</si>
  <si>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</si>
  <si>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</si>
  <si>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</si>
  <si>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</si>
  <si>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</si>
  <si>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</si>
  <si>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</si>
  <si>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Corban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</si>
  <si>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</si>
  <si>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</si>
  <si>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</si>
  <si>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</si>
  <si>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</si>
  <si>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</si>
  <si>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</si>
  <si>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</si>
  <si>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</si>
  <si>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</si>
  <si>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</si>
  <si>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Rebeuvelier</t>
  </si>
  <si>
    <t>Rossemaison</t>
  </si>
  <si>
    <t>Saulcy</t>
  </si>
  <si>
    <t>Soyhières</t>
  </si>
  <si>
    <t>Vellerat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</si>
  <si>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</si>
  <si>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</si>
  <si>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</si>
  <si>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</si>
  <si>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</si>
  <si>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</si>
  <si>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</si>
  <si>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</si>
  <si>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</si>
  <si>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</si>
  <si>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</si>
  <si>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</si>
  <si>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</si>
  <si>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</si>
  <si>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</si>
  <si>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</si>
  <si>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</si>
  <si>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</si>
  <si>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</si>
  <si>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</si>
  <si>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</si>
  <si>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</si>
  <si>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</si>
  <si>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</si>
  <si>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</si>
  <si>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</si>
  <si>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</si>
  <si>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</si>
  <si>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</si>
  <si>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</si>
  <si>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</si>
  <si>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Rocourt</t>
  </si>
  <si>
    <t>Vendlincourt</t>
  </si>
  <si>
    <t>Basse-Allaine</t>
  </si>
  <si>
    <t>Clos du Doubs</t>
  </si>
  <si>
    <t>Haute-Ajoie</t>
  </si>
  <si>
    <t>La Baroche</t>
  </si>
  <si>
    <t>Ständige Wohnbev.
in Siedlungen mit
weniger als 200 Einw.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</si>
</sst>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_ * #,##0_ ;_ * \-#,##0_ ;_ * &quot;-&quot;??_ ;_ @_ "/>
    <numFmt numFmtId="165" formatCode="mm\/yyyy"/>
    <numFmt numFmtId="166" formatCode="0.0%"/>
    <numFmt numFmtId="167" formatCode="_ * #,##0_ ;_ * \-#,##0_ ;_ * &quot;0&quot;_ ;_ @_ "/>
    <numFmt numFmtId="168" formatCode="@_ "/>
    <numFmt numFmtId="169" formatCode="#\ ?/?\ "/>
    <numFmt numFmtId="170" formatCode="0_ ;\-0_ ;_ ;@_ "/>
    <numFmt numFmtId="171" formatCode="0.0%_ ;\-0.0%_ ;_ * &quot;-&quot;??_ ;@_ "/>
    <numFmt numFmtId="172" formatCode="0.0_ ;\-0.0_ ;_ * &quot;-&quot;??_ ;@_ "/>
    <numFmt numFmtId="173" formatCode="0.00%_ ;\-0.00%_ ;_ * &quot;-&quot;??_ ;@_ "/>
    <numFmt numFmtId="174" formatCode="0.000_ ;\-0.000_ ;0.000_ ;@_ "/>
    <numFmt numFmtId="175" formatCode="0.000_ ;0.000_ ;0.000_ ;@_ "/>
    <numFmt numFmtId="176" formatCode="0.0%_ ;\-0.0%_ ;0.0%_ ;@_ "/>
    <numFmt numFmtId="177" formatCode="0.000;\-0.000;0.000;@"/>
    <numFmt numFmtId="178" formatCode="0.0000"/>
    <numFmt numFmtId="179" formatCode="0.0"/>
    <numFmt numFmtId="180" formatCode="_ \ @"/>
    <numFmt numFmtId="181" formatCode="0.00%_ ;\-0.00%_ ;0.00%_ ;@_ "/>
    <numFmt numFmtId="182" formatCode="0.000"/>
  </numFmts>
  <fonts count="38" x14ac:knownFonts="1">
    <font>
      <sz val="10"/>
      <name val="Arial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.5"/>
      <color rgb="FF000000"/>
      <name val="Arial"/>
      <family val="2"/>
    </font>
    <font>
      <b/>
      <sz val="14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000000"/>
      <name val="Arial"/>
      <family val="2"/>
    </font>
    <font>
      <i/>
      <sz val="8"/>
      <color rgb="FF000000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Arial"/>
      <family val="2"/>
    </font>
    <font>
      <b/>
      <sz val="2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sz val="9"/>
      <color rgb="FF000000"/>
      <name val="Arial"/>
      <family val="2"/>
    </font>
    <font>
      <b/>
      <i/>
      <sz val="8"/>
      <color rgb="FF000000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i/>
      <sz val="10"/>
      <color indexed="8"/>
      <name val="Arial"/>
      <family val="2"/>
    </font>
    <font>
      <sz val="14"/>
      <color rgb="FF000000"/>
      <name val="Arial"/>
      <family val="2"/>
    </font>
    <font>
      <b/>
      <sz val="8"/>
      <color indexed="12"/>
      <name val="Arial"/>
      <family val="2"/>
    </font>
    <font>
      <sz val="10"/>
      <color rgb="FF0000FF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8"/>
      <color theme="0" tint="-0.499984740745262"/>
      <name val="Arial"/>
      <family val="2"/>
    </font>
    <font>
      <sz val="8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0">
    <xf numFmtId="0" fontId="0" fillId="0" borderId="0" xfId="0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1" xfId="0" applyFont="1" applyBorder="1"/>
    <xf numFmtId="0" fontId="2" fillId="0" borderId="0" xfId="0" applyFont="1"/>
    <xf numFmtId="0" fontId="8" fillId="2" borderId="2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right" vertical="center" wrapText="1"/>
    </xf>
    <xf numFmtId="0" fontId="11" fillId="0" borderId="0" xfId="0" applyFont="1"/>
    <xf numFmtId="0" fontId="7" fillId="0" borderId="4" xfId="0" applyFont="1" applyBorder="1" applyAlignment="1">
      <alignment horizontal="right" vertical="center" wrapText="1"/>
    </xf>
    <xf numFmtId="164" fontId="7" fillId="0" borderId="0" xfId="0" applyNumberFormat="1" applyFont="1"/>
    <xf numFmtId="0" fontId="12" fillId="3" borderId="5" xfId="0" applyFont="1" applyFill="1" applyBorder="1"/>
    <xf numFmtId="164" fontId="7" fillId="3" borderId="6" xfId="0" applyNumberFormat="1" applyFont="1" applyFill="1" applyBorder="1"/>
    <xf numFmtId="164" fontId="7" fillId="3" borderId="0" xfId="0" applyNumberFormat="1" applyFont="1" applyFill="1"/>
    <xf numFmtId="164" fontId="7" fillId="3" borderId="7" xfId="0" applyNumberFormat="1" applyFont="1" applyFill="1" applyBorder="1"/>
    <xf numFmtId="0" fontId="12" fillId="0" borderId="5" xfId="0" applyFont="1" applyBorder="1"/>
    <xf numFmtId="164" fontId="7" fillId="0" borderId="7" xfId="0" applyNumberFormat="1" applyFont="1" applyBorder="1"/>
    <xf numFmtId="0" fontId="10" fillId="0" borderId="9" xfId="0" applyFont="1" applyBorder="1" applyAlignment="1">
      <alignment horizontal="right" vertical="center" wrapText="1"/>
    </xf>
    <xf numFmtId="164" fontId="7" fillId="0" borderId="6" xfId="0" applyNumberFormat="1" applyFont="1" applyBorder="1"/>
    <xf numFmtId="0" fontId="10" fillId="0" borderId="10" xfId="0" applyFont="1" applyBorder="1"/>
    <xf numFmtId="164" fontId="10" fillId="0" borderId="3" xfId="0" applyNumberFormat="1" applyFont="1" applyBorder="1"/>
    <xf numFmtId="164" fontId="10" fillId="0" borderId="4" xfId="0" applyNumberFormat="1" applyFont="1" applyBorder="1"/>
    <xf numFmtId="164" fontId="10" fillId="0" borderId="9" xfId="0" applyNumberFormat="1" applyFont="1" applyBorder="1"/>
    <xf numFmtId="0" fontId="12" fillId="0" borderId="10" xfId="0" applyFont="1" applyBorder="1" applyAlignment="1">
      <alignment vertical="center"/>
    </xf>
    <xf numFmtId="0" fontId="12" fillId="0" borderId="0" xfId="0" applyFont="1"/>
    <xf numFmtId="0" fontId="15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10" xfId="0" applyFont="1" applyBorder="1" applyAlignment="1">
      <alignment horizontal="left"/>
    </xf>
    <xf numFmtId="0" fontId="16" fillId="0" borderId="0" xfId="0" applyFont="1"/>
    <xf numFmtId="1" fontId="10" fillId="0" borderId="0" xfId="0" applyNumberFormat="1" applyFont="1" applyAlignment="1">
      <alignment horizontal="left" vertical="center"/>
    </xf>
    <xf numFmtId="0" fontId="7" fillId="3" borderId="5" xfId="0" applyFont="1" applyFill="1" applyBorder="1" applyAlignment="1">
      <alignment vertical="center"/>
    </xf>
    <xf numFmtId="165" fontId="17" fillId="3" borderId="0" xfId="0" applyNumberFormat="1" applyFont="1" applyFill="1" applyAlignment="1">
      <alignment horizontal="right"/>
    </xf>
    <xf numFmtId="166" fontId="17" fillId="3" borderId="0" xfId="0" applyNumberFormat="1" applyFont="1" applyFill="1" applyAlignment="1">
      <alignment horizontal="right"/>
    </xf>
    <xf numFmtId="167" fontId="12" fillId="3" borderId="7" xfId="0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167" fontId="7" fillId="3" borderId="12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167" fontId="7" fillId="0" borderId="7" xfId="0" applyNumberFormat="1" applyFont="1" applyBorder="1" applyAlignment="1">
      <alignment vertical="center"/>
    </xf>
    <xf numFmtId="0" fontId="7" fillId="0" borderId="8" xfId="0" applyFont="1" applyBorder="1"/>
    <xf numFmtId="0" fontId="10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4" xfId="0" applyFont="1" applyBorder="1"/>
    <xf numFmtId="0" fontId="7" fillId="0" borderId="13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167" fontId="10" fillId="0" borderId="12" xfId="0" applyNumberFormat="1" applyFont="1" applyBorder="1"/>
    <xf numFmtId="168" fontId="7" fillId="0" borderId="13" xfId="0" applyNumberFormat="1" applyFont="1" applyBorder="1" applyAlignment="1">
      <alignment horizontal="right"/>
    </xf>
    <xf numFmtId="168" fontId="7" fillId="0" borderId="8" xfId="0" applyNumberFormat="1" applyFont="1" applyBorder="1" applyAlignment="1">
      <alignment horizontal="right"/>
    </xf>
    <xf numFmtId="168" fontId="7" fillId="0" borderId="14" xfId="0" applyNumberFormat="1" applyFont="1" applyBorder="1" applyAlignment="1">
      <alignment horizontal="right"/>
    </xf>
    <xf numFmtId="0" fontId="7" fillId="0" borderId="14" xfId="0" applyFont="1" applyBorder="1"/>
    <xf numFmtId="0" fontId="7" fillId="0" borderId="7" xfId="0" applyFont="1" applyBorder="1"/>
    <xf numFmtId="167" fontId="10" fillId="0" borderId="10" xfId="0" applyNumberFormat="1" applyFont="1" applyBorder="1" applyAlignment="1">
      <alignment vertical="center"/>
    </xf>
    <xf numFmtId="167" fontId="10" fillId="0" borderId="4" xfId="0" applyNumberFormat="1" applyFont="1" applyBorder="1" applyAlignment="1">
      <alignment vertical="center"/>
    </xf>
    <xf numFmtId="167" fontId="10" fillId="0" borderId="9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9" fontId="2" fillId="0" borderId="5" xfId="0" applyNumberFormat="1" applyFont="1" applyBorder="1" applyAlignment="1">
      <alignment horizontal="right" vertical="center"/>
    </xf>
    <xf numFmtId="169" fontId="2" fillId="0" borderId="0" xfId="0" applyNumberFormat="1" applyFont="1" applyAlignment="1">
      <alignment horizontal="right" vertical="center"/>
    </xf>
    <xf numFmtId="169" fontId="2" fillId="0" borderId="7" xfId="0" applyNumberFormat="1" applyFont="1" applyBorder="1" applyAlignment="1">
      <alignment horizontal="right" vertical="center"/>
    </xf>
    <xf numFmtId="0" fontId="12" fillId="0" borderId="0" xfId="0" applyFont="1" applyAlignment="1">
      <alignment wrapText="1"/>
    </xf>
    <xf numFmtId="0" fontId="11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0" fillId="0" borderId="0" xfId="0" applyFont="1"/>
    <xf numFmtId="0" fontId="11" fillId="0" borderId="10" xfId="0" applyFont="1" applyBorder="1" applyAlignment="1">
      <alignment horizontal="right" vertical="center"/>
    </xf>
    <xf numFmtId="1" fontId="11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vertical="center"/>
    </xf>
    <xf numFmtId="164" fontId="10" fillId="0" borderId="4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164" fontId="10" fillId="0" borderId="6" xfId="0" applyNumberFormat="1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164" fontId="21" fillId="0" borderId="4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0" fontId="22" fillId="0" borderId="0" xfId="0" applyNumberFormat="1" applyFont="1" applyAlignment="1">
      <alignment horizontal="right" vertical="center"/>
    </xf>
    <xf numFmtId="170" fontId="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/>
    </xf>
    <xf numFmtId="0" fontId="18" fillId="0" borderId="3" xfId="0" applyFont="1" applyBorder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1" fillId="0" borderId="3" xfId="0" applyFont="1" applyBorder="1" applyAlignment="1">
      <alignment horizontal="right" vertical="center" wrapText="1"/>
    </xf>
    <xf numFmtId="170" fontId="3" fillId="0" borderId="4" xfId="0" applyNumberFormat="1" applyFont="1" applyBorder="1" applyAlignment="1">
      <alignment horizontal="right" vertical="center"/>
    </xf>
    <xf numFmtId="170" fontId="3" fillId="0" borderId="4" xfId="0" applyNumberFormat="1" applyFont="1" applyBorder="1" applyAlignment="1">
      <alignment horizontal="right" vertical="center" wrapText="1"/>
    </xf>
    <xf numFmtId="170" fontId="24" fillId="0" borderId="3" xfId="0" applyNumberFormat="1" applyFont="1" applyBorder="1" applyAlignment="1">
      <alignment horizontal="right" vertical="center" wrapText="1"/>
    </xf>
    <xf numFmtId="170" fontId="3" fillId="0" borderId="3" xfId="0" applyNumberFormat="1" applyFont="1" applyBorder="1" applyAlignment="1">
      <alignment horizontal="right" vertical="center" wrapText="1"/>
    </xf>
    <xf numFmtId="171" fontId="12" fillId="0" borderId="0" xfId="0" applyNumberFormat="1" applyFont="1" applyAlignment="1">
      <alignment vertical="center"/>
    </xf>
    <xf numFmtId="171" fontId="10" fillId="0" borderId="4" xfId="0" applyNumberFormat="1" applyFont="1" applyBorder="1" applyAlignment="1">
      <alignment vertical="center"/>
    </xf>
    <xf numFmtId="172" fontId="12" fillId="0" borderId="0" xfId="0" applyNumberFormat="1" applyFont="1" applyAlignment="1">
      <alignment vertical="center"/>
    </xf>
    <xf numFmtId="172" fontId="10" fillId="0" borderId="4" xfId="0" applyNumberFormat="1" applyFont="1" applyBorder="1" applyAlignment="1">
      <alignment vertical="center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top"/>
    </xf>
    <xf numFmtId="0" fontId="12" fillId="3" borderId="6" xfId="0" applyFont="1" applyFill="1" applyBorder="1" applyAlignment="1">
      <alignment horizontal="left" vertical="center" wrapText="1"/>
    </xf>
    <xf numFmtId="164" fontId="17" fillId="3" borderId="0" xfId="0" applyNumberFormat="1" applyFont="1" applyFill="1" applyAlignment="1">
      <alignment vertical="center"/>
    </xf>
    <xf numFmtId="171" fontId="12" fillId="3" borderId="0" xfId="0" applyNumberFormat="1" applyFont="1" applyFill="1" applyAlignment="1">
      <alignment vertical="center"/>
    </xf>
    <xf numFmtId="172" fontId="12" fillId="3" borderId="0" xfId="0" applyNumberFormat="1" applyFont="1" applyFill="1" applyAlignment="1">
      <alignment vertical="center"/>
    </xf>
    <xf numFmtId="164" fontId="12" fillId="3" borderId="0" xfId="0" applyNumberFormat="1" applyFont="1" applyFill="1" applyAlignment="1">
      <alignment vertical="center"/>
    </xf>
    <xf numFmtId="164" fontId="10" fillId="3" borderId="6" xfId="0" applyNumberFormat="1" applyFont="1" applyFill="1" applyBorder="1" applyAlignment="1">
      <alignment vertical="center"/>
    </xf>
    <xf numFmtId="167" fontId="12" fillId="3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vertical="center"/>
    </xf>
    <xf numFmtId="0" fontId="20" fillId="0" borderId="0" xfId="0" applyFont="1" applyAlignment="1">
      <alignment horizontal="left"/>
    </xf>
    <xf numFmtId="0" fontId="7" fillId="0" borderId="4" xfId="0" applyFont="1" applyBorder="1" applyAlignment="1">
      <alignment horizontal="right" wrapText="1"/>
    </xf>
    <xf numFmtId="0" fontId="26" fillId="0" borderId="0" xfId="0" applyFont="1"/>
    <xf numFmtId="0" fontId="26" fillId="0" borderId="0" xfId="0" applyFont="1" applyAlignment="1">
      <alignment wrapText="1"/>
    </xf>
    <xf numFmtId="0" fontId="7" fillId="0" borderId="4" xfId="0" applyFont="1" applyBorder="1" applyAlignment="1">
      <alignment horizontal="right"/>
    </xf>
    <xf numFmtId="0" fontId="10" fillId="0" borderId="3" xfId="0" applyFont="1" applyBorder="1" applyAlignment="1">
      <alignment wrapText="1"/>
    </xf>
    <xf numFmtId="0" fontId="12" fillId="0" borderId="6" xfId="0" applyFont="1" applyBorder="1" applyAlignment="1">
      <alignment horizontal="left" vertical="center" wrapText="1"/>
    </xf>
    <xf numFmtId="0" fontId="27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horizontal="right" vertical="center"/>
    </xf>
    <xf numFmtId="164" fontId="28" fillId="0" borderId="6" xfId="0" applyNumberFormat="1" applyFont="1" applyBorder="1" applyAlignment="1">
      <alignment vertical="center"/>
    </xf>
    <xf numFmtId="164" fontId="27" fillId="0" borderId="3" xfId="0" applyNumberFormat="1" applyFont="1" applyBorder="1" applyAlignment="1">
      <alignment vertical="center"/>
    </xf>
    <xf numFmtId="0" fontId="2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1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0" fillId="0" borderId="16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/>
    </xf>
    <xf numFmtId="0" fontId="25" fillId="0" borderId="0" xfId="0" applyFont="1" applyAlignment="1">
      <alignment horizontal="left"/>
    </xf>
    <xf numFmtId="3" fontId="10" fillId="0" borderId="0" xfId="0" applyNumberFormat="1" applyFont="1" applyAlignment="1">
      <alignment vertical="center"/>
    </xf>
    <xf numFmtId="164" fontId="28" fillId="3" borderId="6" xfId="0" applyNumberFormat="1" applyFont="1" applyFill="1" applyBorder="1" applyAlignment="1">
      <alignment vertical="center"/>
    </xf>
    <xf numFmtId="3" fontId="12" fillId="0" borderId="0" xfId="0" applyNumberFormat="1" applyFont="1" applyAlignment="1">
      <alignment vertical="center"/>
    </xf>
    <xf numFmtId="0" fontId="30" fillId="0" borderId="0" xfId="0" applyFont="1" applyAlignment="1">
      <alignment wrapText="1"/>
    </xf>
    <xf numFmtId="0" fontId="7" fillId="0" borderId="7" xfId="0" applyFont="1" applyBorder="1" applyAlignment="1">
      <alignment horizontal="right"/>
    </xf>
    <xf numFmtId="0" fontId="7" fillId="0" borderId="10" xfId="0" applyFont="1" applyBorder="1" applyAlignment="1">
      <alignment horizontal="right" wrapText="1"/>
    </xf>
    <xf numFmtId="0" fontId="7" fillId="0" borderId="9" xfId="0" applyFont="1" applyBorder="1" applyAlignment="1">
      <alignment horizontal="right"/>
    </xf>
    <xf numFmtId="0" fontId="11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vertical="center"/>
    </xf>
    <xf numFmtId="164" fontId="10" fillId="0" borderId="10" xfId="0" applyNumberFormat="1" applyFont="1" applyBorder="1" applyAlignment="1">
      <alignment vertical="center"/>
    </xf>
    <xf numFmtId="164" fontId="12" fillId="0" borderId="13" xfId="0" applyNumberFormat="1" applyFont="1" applyBorder="1" applyAlignment="1">
      <alignment vertical="center"/>
    </xf>
    <xf numFmtId="164" fontId="17" fillId="0" borderId="8" xfId="0" applyNumberFormat="1" applyFont="1" applyBorder="1" applyAlignment="1">
      <alignment vertical="center"/>
    </xf>
    <xf numFmtId="164" fontId="12" fillId="0" borderId="5" xfId="0" applyNumberFormat="1" applyFont="1" applyBorder="1" applyAlignment="1">
      <alignment vertical="center"/>
    </xf>
    <xf numFmtId="170" fontId="22" fillId="0" borderId="3" xfId="0" applyNumberFormat="1" applyFont="1" applyBorder="1" applyAlignment="1">
      <alignment horizontal="right" vertical="center"/>
    </xf>
    <xf numFmtId="170" fontId="22" fillId="0" borderId="4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wrapText="1"/>
    </xf>
    <xf numFmtId="0" fontId="10" fillId="0" borderId="0" xfId="0" applyFont="1" applyAlignment="1">
      <alignment horizontal="left" wrapText="1"/>
    </xf>
    <xf numFmtId="0" fontId="31" fillId="0" borderId="0" xfId="0" applyFont="1"/>
    <xf numFmtId="0" fontId="25" fillId="0" borderId="0" xfId="0" applyFont="1"/>
    <xf numFmtId="0" fontId="18" fillId="0" borderId="0" xfId="0" applyFont="1" applyAlignment="1">
      <alignment horizontal="right" vertical="center" wrapText="1"/>
    </xf>
    <xf numFmtId="1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170" fontId="7" fillId="0" borderId="0" xfId="0" applyNumberFormat="1" applyFont="1" applyAlignment="1">
      <alignment horizontal="right" vertical="center"/>
    </xf>
    <xf numFmtId="170" fontId="2" fillId="0" borderId="10" xfId="0" applyNumberFormat="1" applyFont="1" applyBorder="1" applyAlignment="1">
      <alignment horizontal="right" vertical="center"/>
    </xf>
    <xf numFmtId="170" fontId="10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wrapText="1"/>
    </xf>
    <xf numFmtId="0" fontId="11" fillId="0" borderId="9" xfId="0" applyFont="1" applyBorder="1" applyAlignment="1">
      <alignment horizontal="right" vertical="center"/>
    </xf>
    <xf numFmtId="173" fontId="17" fillId="0" borderId="16" xfId="0" applyNumberFormat="1" applyFont="1" applyBorder="1" applyAlignment="1">
      <alignment vertical="center"/>
    </xf>
    <xf numFmtId="173" fontId="17" fillId="0" borderId="6" xfId="0" applyNumberFormat="1" applyFont="1" applyBorder="1" applyAlignment="1">
      <alignment vertical="center"/>
    </xf>
    <xf numFmtId="173" fontId="12" fillId="0" borderId="3" xfId="0" applyNumberFormat="1" applyFont="1" applyBorder="1"/>
    <xf numFmtId="171" fontId="12" fillId="0" borderId="7" xfId="0" applyNumberFormat="1" applyFont="1" applyBorder="1" applyAlignment="1">
      <alignment vertical="center"/>
    </xf>
    <xf numFmtId="171" fontId="10" fillId="0" borderId="9" xfId="0" applyNumberFormat="1" applyFont="1" applyBorder="1" applyAlignment="1">
      <alignment vertical="center"/>
    </xf>
    <xf numFmtId="171" fontId="12" fillId="0" borderId="14" xfId="0" applyNumberFormat="1" applyFont="1" applyBorder="1" applyAlignment="1">
      <alignment vertical="center"/>
    </xf>
    <xf numFmtId="0" fontId="7" fillId="0" borderId="0" xfId="0" applyFont="1"/>
    <xf numFmtId="0" fontId="12" fillId="3" borderId="15" xfId="0" applyFont="1" applyFill="1" applyBorder="1" applyAlignment="1">
      <alignment horizontal="left" vertical="center" wrapText="1"/>
    </xf>
    <xf numFmtId="173" fontId="17" fillId="3" borderId="6" xfId="0" applyNumberFormat="1" applyFont="1" applyFill="1" applyBorder="1" applyAlignment="1">
      <alignment vertical="center"/>
    </xf>
    <xf numFmtId="173" fontId="17" fillId="3" borderId="15" xfId="0" applyNumberFormat="1" applyFont="1" applyFill="1" applyBorder="1" applyAlignment="1">
      <alignment vertical="center"/>
    </xf>
    <xf numFmtId="164" fontId="7" fillId="3" borderId="5" xfId="0" applyNumberFormat="1" applyFont="1" applyFill="1" applyBorder="1" applyAlignment="1">
      <alignment vertical="center"/>
    </xf>
    <xf numFmtId="171" fontId="12" fillId="3" borderId="7" xfId="0" applyNumberFormat="1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vertical="center"/>
    </xf>
    <xf numFmtId="1" fontId="23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10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10" fillId="0" borderId="16" xfId="0" applyFont="1" applyBorder="1" applyAlignment="1">
      <alignment wrapText="1"/>
    </xf>
    <xf numFmtId="0" fontId="12" fillId="0" borderId="15" xfId="0" applyFont="1" applyBorder="1" applyAlignment="1">
      <alignment horizontal="right" wrapText="1"/>
    </xf>
    <xf numFmtId="0" fontId="7" fillId="0" borderId="11" xfId="0" applyFont="1" applyBorder="1" applyAlignment="1">
      <alignment horizontal="right" wrapText="1"/>
    </xf>
    <xf numFmtId="0" fontId="7" fillId="0" borderId="12" xfId="0" applyFont="1" applyBorder="1" applyAlignment="1">
      <alignment horizontal="right" wrapText="1"/>
    </xf>
    <xf numFmtId="0" fontId="12" fillId="0" borderId="16" xfId="0" applyFont="1" applyBorder="1"/>
    <xf numFmtId="0" fontId="10" fillId="0" borderId="15" xfId="0" applyFont="1" applyBorder="1" applyAlignment="1">
      <alignment horizontal="right" wrapText="1"/>
    </xf>
    <xf numFmtId="0" fontId="11" fillId="0" borderId="10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2" fillId="0" borderId="16" xfId="0" applyFont="1" applyBorder="1"/>
    <xf numFmtId="0" fontId="2" fillId="0" borderId="15" xfId="0" applyFont="1" applyBorder="1"/>
    <xf numFmtId="0" fontId="2" fillId="0" borderId="11" xfId="0" applyFont="1" applyBorder="1"/>
    <xf numFmtId="0" fontId="2" fillId="0" borderId="1" xfId="0" applyFont="1" applyBorder="1"/>
    <xf numFmtId="0" fontId="2" fillId="0" borderId="12" xfId="0" applyFont="1" applyBorder="1"/>
    <xf numFmtId="174" fontId="7" fillId="0" borderId="4" xfId="0" applyNumberFormat="1" applyFont="1" applyBorder="1" applyAlignment="1">
      <alignment wrapText="1"/>
    </xf>
    <xf numFmtId="174" fontId="12" fillId="0" borderId="0" xfId="0" applyNumberFormat="1" applyFont="1"/>
    <xf numFmtId="174" fontId="12" fillId="0" borderId="10" xfId="0" applyNumberFormat="1" applyFont="1" applyBorder="1" applyAlignment="1">
      <alignment vertical="center" wrapText="1"/>
    </xf>
    <xf numFmtId="174" fontId="12" fillId="0" borderId="4" xfId="0" applyNumberFormat="1" applyFont="1" applyBorder="1" applyAlignment="1">
      <alignment vertical="center" wrapText="1"/>
    </xf>
    <xf numFmtId="174" fontId="12" fillId="0" borderId="9" xfId="0" applyNumberFormat="1" applyFont="1" applyBorder="1" applyAlignment="1">
      <alignment vertical="center" wrapText="1"/>
    </xf>
    <xf numFmtId="174" fontId="12" fillId="0" borderId="13" xfId="0" applyNumberFormat="1" applyFont="1" applyBorder="1"/>
    <xf numFmtId="174" fontId="12" fillId="0" borderId="8" xfId="0" applyNumberFormat="1" applyFont="1" applyBorder="1"/>
    <xf numFmtId="174" fontId="12" fillId="0" borderId="14" xfId="0" applyNumberFormat="1" applyFont="1" applyBorder="1"/>
    <xf numFmtId="174" fontId="12" fillId="0" borderId="5" xfId="0" applyNumberFormat="1" applyFont="1" applyBorder="1"/>
    <xf numFmtId="174" fontId="12" fillId="0" borderId="7" xfId="0" applyNumberFormat="1" applyFont="1" applyBorder="1"/>
    <xf numFmtId="174" fontId="2" fillId="0" borderId="14" xfId="0" applyNumberFormat="1" applyFont="1" applyBorder="1"/>
    <xf numFmtId="174" fontId="2" fillId="0" borderId="11" xfId="0" applyNumberFormat="1" applyFont="1" applyBorder="1"/>
    <xf numFmtId="174" fontId="2" fillId="0" borderId="1" xfId="0" applyNumberFormat="1" applyFont="1" applyBorder="1"/>
    <xf numFmtId="174" fontId="2" fillId="0" borderId="12" xfId="0" applyNumberFormat="1" applyFont="1" applyBorder="1"/>
    <xf numFmtId="164" fontId="12" fillId="0" borderId="14" xfId="0" applyNumberFormat="1" applyFont="1" applyBorder="1"/>
    <xf numFmtId="164" fontId="12" fillId="0" borderId="7" xfId="0" applyNumberFormat="1" applyFont="1" applyBorder="1"/>
    <xf numFmtId="164" fontId="12" fillId="0" borderId="16" xfId="0" applyNumberFormat="1" applyFont="1" applyBorder="1"/>
    <xf numFmtId="164" fontId="12" fillId="0" borderId="6" xfId="0" applyNumberFormat="1" applyFont="1" applyBorder="1"/>
    <xf numFmtId="175" fontId="2" fillId="0" borderId="13" xfId="0" applyNumberFormat="1" applyFont="1" applyBorder="1"/>
    <xf numFmtId="175" fontId="2" fillId="0" borderId="8" xfId="0" applyNumberFormat="1" applyFont="1" applyBorder="1"/>
    <xf numFmtId="175" fontId="2" fillId="0" borderId="14" xfId="0" applyNumberFormat="1" applyFont="1" applyBorder="1"/>
    <xf numFmtId="176" fontId="12" fillId="0" borderId="10" xfId="0" applyNumberFormat="1" applyFont="1" applyBorder="1"/>
    <xf numFmtId="176" fontId="12" fillId="0" borderId="4" xfId="0" applyNumberFormat="1" applyFont="1" applyBorder="1"/>
    <xf numFmtId="176" fontId="12" fillId="0" borderId="9" xfId="0" applyNumberFormat="1" applyFont="1" applyBorder="1"/>
    <xf numFmtId="176" fontId="12" fillId="0" borderId="0" xfId="0" applyNumberFormat="1" applyFont="1"/>
    <xf numFmtId="0" fontId="7" fillId="0" borderId="13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" fontId="29" fillId="0" borderId="4" xfId="0" applyNumberFormat="1" applyFont="1" applyBorder="1" applyAlignment="1">
      <alignment horizontal="right" vertical="center" wrapText="1"/>
    </xf>
    <xf numFmtId="1" fontId="29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 wrapText="1"/>
    </xf>
    <xf numFmtId="171" fontId="12" fillId="0" borderId="5" xfId="0" applyNumberFormat="1" applyFont="1" applyBorder="1" applyAlignment="1">
      <alignment vertical="center"/>
    </xf>
    <xf numFmtId="171" fontId="2" fillId="0" borderId="13" xfId="0" applyNumberFormat="1" applyFont="1" applyBorder="1"/>
    <xf numFmtId="171" fontId="2" fillId="0" borderId="8" xfId="0" applyNumberFormat="1" applyFont="1" applyBorder="1"/>
    <xf numFmtId="171" fontId="2" fillId="0" borderId="14" xfId="0" applyNumberFormat="1" applyFont="1" applyBorder="1"/>
    <xf numFmtId="171" fontId="12" fillId="3" borderId="5" xfId="0" applyNumberFormat="1" applyFont="1" applyFill="1" applyBorder="1" applyAlignment="1">
      <alignment vertical="center"/>
    </xf>
    <xf numFmtId="0" fontId="27" fillId="0" borderId="0" xfId="0" applyFont="1" applyAlignment="1">
      <alignment horizontal="left" wrapText="1"/>
    </xf>
    <xf numFmtId="174" fontId="12" fillId="3" borderId="5" xfId="0" applyNumberFormat="1" applyFont="1" applyFill="1" applyBorder="1"/>
    <xf numFmtId="174" fontId="12" fillId="3" borderId="0" xfId="0" applyNumberFormat="1" applyFont="1" applyFill="1"/>
    <xf numFmtId="174" fontId="12" fillId="3" borderId="7" xfId="0" applyNumberFormat="1" applyFont="1" applyFill="1" applyBorder="1"/>
    <xf numFmtId="164" fontId="12" fillId="3" borderId="7" xfId="0" applyNumberFormat="1" applyFont="1" applyFill="1" applyBorder="1"/>
    <xf numFmtId="164" fontId="12" fillId="3" borderId="6" xfId="0" applyNumberFormat="1" applyFont="1" applyFill="1" applyBorder="1"/>
    <xf numFmtId="174" fontId="12" fillId="3" borderId="11" xfId="0" applyNumberFormat="1" applyFont="1" applyFill="1" applyBorder="1"/>
    <xf numFmtId="174" fontId="12" fillId="3" borderId="1" xfId="0" applyNumberFormat="1" applyFont="1" applyFill="1" applyBorder="1"/>
    <xf numFmtId="174" fontId="12" fillId="3" borderId="12" xfId="0" applyNumberFormat="1" applyFont="1" applyFill="1" applyBorder="1"/>
    <xf numFmtId="0" fontId="2" fillId="3" borderId="6" xfId="0" applyFont="1" applyFill="1" applyBorder="1"/>
    <xf numFmtId="171" fontId="2" fillId="3" borderId="5" xfId="0" applyNumberFormat="1" applyFont="1" applyFill="1" applyBorder="1"/>
    <xf numFmtId="171" fontId="2" fillId="3" borderId="0" xfId="0" applyNumberFormat="1" applyFont="1" applyFill="1"/>
    <xf numFmtId="171" fontId="2" fillId="3" borderId="7" xfId="0" applyNumberFormat="1" applyFont="1" applyFill="1" applyBorder="1"/>
    <xf numFmtId="174" fontId="2" fillId="3" borderId="5" xfId="0" applyNumberFormat="1" applyFont="1" applyFill="1" applyBorder="1"/>
    <xf numFmtId="174" fontId="2" fillId="3" borderId="0" xfId="0" applyNumberFormat="1" applyFont="1" applyFill="1"/>
    <xf numFmtId="174" fontId="2" fillId="3" borderId="7" xfId="0" applyNumberFormat="1" applyFont="1" applyFill="1" applyBorder="1"/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/>
    </xf>
    <xf numFmtId="177" fontId="32" fillId="0" borderId="10" xfId="0" applyNumberFormat="1" applyFont="1" applyBorder="1" applyAlignment="1">
      <alignment horizontal="center" vertical="center"/>
    </xf>
    <xf numFmtId="177" fontId="32" fillId="0" borderId="4" xfId="0" applyNumberFormat="1" applyFont="1" applyBorder="1" applyAlignment="1">
      <alignment horizontal="center" vertical="center"/>
    </xf>
    <xf numFmtId="177" fontId="32" fillId="0" borderId="9" xfId="0" applyNumberFormat="1" applyFont="1" applyBorder="1" applyAlignment="1">
      <alignment horizontal="center" vertical="center"/>
    </xf>
    <xf numFmtId="3" fontId="12" fillId="0" borderId="0" xfId="0" applyNumberFormat="1" applyFont="1"/>
    <xf numFmtId="166" fontId="7" fillId="0" borderId="4" xfId="0" applyNumberFormat="1" applyFont="1" applyBorder="1" applyAlignment="1">
      <alignment horizontal="right" wrapText="1"/>
    </xf>
    <xf numFmtId="178" fontId="7" fillId="0" borderId="4" xfId="0" applyNumberFormat="1" applyFont="1" applyBorder="1" applyAlignment="1">
      <alignment horizontal="right" wrapText="1"/>
    </xf>
    <xf numFmtId="179" fontId="11" fillId="0" borderId="0" xfId="0" applyNumberFormat="1" applyFont="1" applyAlignment="1">
      <alignment horizontal="right"/>
    </xf>
    <xf numFmtId="180" fontId="7" fillId="0" borderId="4" xfId="0" applyNumberFormat="1" applyFont="1" applyBorder="1" applyAlignment="1">
      <alignment horizontal="left" wrapText="1"/>
    </xf>
    <xf numFmtId="181" fontId="12" fillId="0" borderId="0" xfId="0" applyNumberFormat="1" applyFont="1"/>
    <xf numFmtId="164" fontId="12" fillId="0" borderId="0" xfId="0" applyNumberFormat="1" applyFont="1"/>
    <xf numFmtId="178" fontId="10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64" fontId="33" fillId="0" borderId="0" xfId="0" applyNumberFormat="1" applyFont="1"/>
    <xf numFmtId="179" fontId="7" fillId="0" borderId="9" xfId="0" applyNumberFormat="1" applyFont="1" applyBorder="1" applyAlignment="1">
      <alignment horizontal="right" wrapText="1"/>
    </xf>
    <xf numFmtId="0" fontId="10" fillId="0" borderId="0" xfId="0" applyFont="1"/>
    <xf numFmtId="166" fontId="3" fillId="0" borderId="4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9" fontId="2" fillId="0" borderId="9" xfId="0" applyNumberFormat="1" applyFont="1" applyBorder="1" applyAlignment="1">
      <alignment horizontal="center" vertical="center"/>
    </xf>
    <xf numFmtId="170" fontId="2" fillId="0" borderId="4" xfId="0" applyNumberFormat="1" applyFont="1" applyBorder="1" applyAlignment="1">
      <alignment horizontal="right" vertical="center"/>
    </xf>
    <xf numFmtId="170" fontId="2" fillId="0" borderId="4" xfId="0" applyNumberFormat="1" applyFont="1" applyBorder="1" applyAlignment="1">
      <alignment horizontal="right" vertical="center" indent="1"/>
    </xf>
    <xf numFmtId="170" fontId="2" fillId="0" borderId="9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 indent="1"/>
    </xf>
    <xf numFmtId="178" fontId="11" fillId="0" borderId="4" xfId="0" applyNumberFormat="1" applyFont="1" applyBorder="1" applyAlignment="1">
      <alignment horizontal="right" vertical="center"/>
    </xf>
    <xf numFmtId="179" fontId="11" fillId="0" borderId="9" xfId="0" applyNumberFormat="1" applyFont="1" applyBorder="1" applyAlignment="1">
      <alignment horizontal="right" vertical="center"/>
    </xf>
    <xf numFmtId="182" fontId="12" fillId="0" borderId="0" xfId="0" applyNumberFormat="1" applyFont="1"/>
    <xf numFmtId="180" fontId="7" fillId="0" borderId="0" xfId="0" applyNumberFormat="1" applyFont="1" applyAlignment="1">
      <alignment horizontal="left"/>
    </xf>
    <xf numFmtId="180" fontId="12" fillId="0" borderId="0" xfId="0" applyNumberFormat="1" applyFont="1" applyAlignment="1">
      <alignment horizontal="left"/>
    </xf>
    <xf numFmtId="0" fontId="34" fillId="0" borderId="0" xfId="0" applyFont="1"/>
    <xf numFmtId="178" fontId="35" fillId="0" borderId="0" xfId="0" applyNumberFormat="1" applyFont="1"/>
    <xf numFmtId="0" fontId="1" fillId="0" borderId="0" xfId="0" applyFont="1" applyAlignment="1">
      <alignment horizontal="left"/>
    </xf>
    <xf numFmtId="0" fontId="12" fillId="0" borderId="16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2" fillId="0" borderId="1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82" fontId="2" fillId="0" borderId="8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4" fontId="10" fillId="0" borderId="4" xfId="0" applyNumberFormat="1" applyFont="1" applyBorder="1" applyAlignment="1">
      <alignment vertical="center" wrapText="1"/>
    </xf>
    <xf numFmtId="167" fontId="7" fillId="0" borderId="8" xfId="0" applyNumberFormat="1" applyFont="1" applyBorder="1" applyAlignment="1">
      <alignment wrapText="1"/>
    </xf>
    <xf numFmtId="167" fontId="7" fillId="0" borderId="0" xfId="0" applyNumberFormat="1" applyFont="1" applyAlignment="1">
      <alignment wrapText="1"/>
    </xf>
    <xf numFmtId="167" fontId="10" fillId="0" borderId="4" xfId="0" applyNumberFormat="1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0" fillId="0" borderId="0" xfId="0" applyFont="1" applyAlignment="1">
      <alignment vertical="center" wrapText="1"/>
    </xf>
    <xf numFmtId="174" fontId="2" fillId="0" borderId="8" xfId="0" applyNumberFormat="1" applyFont="1" applyBorder="1" applyAlignment="1">
      <alignment vertical="center"/>
    </xf>
    <xf numFmtId="174" fontId="2" fillId="0" borderId="14" xfId="0" applyNumberFormat="1" applyFont="1" applyBorder="1" applyAlignment="1">
      <alignment vertical="center"/>
    </xf>
    <xf numFmtId="174" fontId="2" fillId="0" borderId="1" xfId="0" applyNumberFormat="1" applyFont="1" applyBorder="1" applyAlignment="1">
      <alignment vertical="center"/>
    </xf>
    <xf numFmtId="174" fontId="2" fillId="0" borderId="12" xfId="0" applyNumberFormat="1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64" fontId="12" fillId="0" borderId="8" xfId="0" applyNumberFormat="1" applyFont="1" applyBorder="1" applyAlignment="1">
      <alignment wrapText="1"/>
    </xf>
    <xf numFmtId="164" fontId="7" fillId="0" borderId="16" xfId="0" applyNumberFormat="1" applyFont="1" applyBorder="1" applyAlignment="1">
      <alignment wrapText="1"/>
    </xf>
    <xf numFmtId="164" fontId="12" fillId="0" borderId="0" xfId="0" applyNumberFormat="1" applyFont="1" applyAlignment="1">
      <alignment wrapText="1"/>
    </xf>
    <xf numFmtId="164" fontId="7" fillId="0" borderId="6" xfId="0" applyNumberFormat="1" applyFont="1" applyBorder="1" applyAlignment="1">
      <alignment wrapText="1"/>
    </xf>
    <xf numFmtId="164" fontId="10" fillId="0" borderId="4" xfId="0" applyNumberFormat="1" applyFont="1" applyBorder="1" applyAlignment="1">
      <alignment vertical="center" wrapText="1"/>
    </xf>
    <xf numFmtId="164" fontId="27" fillId="0" borderId="3" xfId="0" applyNumberFormat="1" applyFont="1" applyBorder="1" applyAlignment="1">
      <alignment vertical="center" wrapText="1"/>
    </xf>
    <xf numFmtId="0" fontId="12" fillId="3" borderId="6" xfId="0" applyFont="1" applyFill="1" applyBorder="1" applyAlignment="1">
      <alignment wrapText="1"/>
    </xf>
    <xf numFmtId="167" fontId="7" fillId="3" borderId="0" xfId="0" applyNumberFormat="1" applyFont="1" applyFill="1" applyAlignment="1">
      <alignment wrapText="1"/>
    </xf>
    <xf numFmtId="164" fontId="12" fillId="3" borderId="0" xfId="0" applyNumberFormat="1" applyFont="1" applyFill="1" applyAlignment="1">
      <alignment wrapText="1"/>
    </xf>
    <xf numFmtId="164" fontId="7" fillId="3" borderId="6" xfId="0" applyNumberFormat="1" applyFont="1" applyFill="1" applyBorder="1" applyAlignment="1">
      <alignment wrapText="1"/>
    </xf>
    <xf numFmtId="0" fontId="13" fillId="0" borderId="0" xfId="0" applyFont="1"/>
    <xf numFmtId="3" fontId="27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3" fillId="4" borderId="3" xfId="0" applyFont="1" applyFill="1" applyBorder="1"/>
    <xf numFmtId="0" fontId="2" fillId="4" borderId="16" xfId="0" applyFont="1" applyFill="1" applyBorder="1"/>
    <xf numFmtId="1" fontId="2" fillId="5" borderId="3" xfId="0" applyNumberFormat="1" applyFont="1" applyFill="1" applyBorder="1" applyAlignment="1">
      <alignment horizontal="left"/>
    </xf>
    <xf numFmtId="0" fontId="2" fillId="4" borderId="6" xfId="0" applyFont="1" applyFill="1" applyBorder="1"/>
    <xf numFmtId="0" fontId="23" fillId="0" borderId="0" xfId="0" applyFont="1"/>
    <xf numFmtId="0" fontId="3" fillId="0" borderId="0" xfId="0" applyFont="1"/>
    <xf numFmtId="0" fontId="2" fillId="4" borderId="15" xfId="0" applyFont="1" applyFill="1" applyBorder="1"/>
    <xf numFmtId="0" fontId="2" fillId="6" borderId="3" xfId="0" applyFont="1" applyFill="1" applyBorder="1" applyAlignment="1">
      <alignment horizontal="left"/>
    </xf>
    <xf numFmtId="0" fontId="36" fillId="0" borderId="0" xfId="0" applyFont="1"/>
    <xf numFmtId="0" fontId="2" fillId="7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2" fillId="5" borderId="16" xfId="0" applyFont="1" applyFill="1" applyBorder="1"/>
    <xf numFmtId="0" fontId="2" fillId="5" borderId="6" xfId="0" applyFont="1" applyFill="1" applyBorder="1"/>
    <xf numFmtId="0" fontId="2" fillId="5" borderId="15" xfId="0" applyFont="1" applyFill="1" applyBorder="1"/>
    <xf numFmtId="0" fontId="3" fillId="5" borderId="6" xfId="0" applyFont="1" applyFill="1" applyBorder="1"/>
    <xf numFmtId="49" fontId="2" fillId="0" borderId="0" xfId="0" applyNumberFormat="1" applyFont="1"/>
    <xf numFmtId="0" fontId="7" fillId="2" borderId="2" xfId="0" applyFont="1" applyFill="1" applyBorder="1" applyAlignment="1">
      <alignment horizontal="left" vertical="center" indent="1"/>
    </xf>
    <xf numFmtId="0" fontId="10" fillId="2" borderId="2" xfId="0" applyFont="1" applyFill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2" fillId="0" borderId="8" xfId="0" applyFont="1" applyBorder="1" applyAlignment="1">
      <alignment horizontal="center" wrapText="1"/>
    </xf>
    <xf numFmtId="167" fontId="17" fillId="3" borderId="11" xfId="0" applyNumberFormat="1" applyFont="1" applyFill="1" applyBorder="1" applyAlignment="1">
      <alignment horizontal="right" vertical="center"/>
    </xf>
    <xf numFmtId="167" fontId="17" fillId="3" borderId="12" xfId="0" applyNumberFormat="1" applyFont="1" applyFill="1" applyBorder="1" applyAlignment="1">
      <alignment horizontal="right" vertical="center"/>
    </xf>
    <xf numFmtId="167" fontId="10" fillId="0" borderId="11" xfId="0" applyNumberFormat="1" applyFont="1" applyBorder="1" applyAlignment="1">
      <alignment horizontal="center" vertical="center"/>
    </xf>
    <xf numFmtId="167" fontId="10" fillId="0" borderId="12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167" fontId="17" fillId="0" borderId="5" xfId="0" applyNumberFormat="1" applyFont="1" applyBorder="1" applyAlignment="1">
      <alignment horizontal="center" vertical="center"/>
    </xf>
    <xf numFmtId="167" fontId="17" fillId="0" borderId="7" xfId="0" applyNumberFormat="1" applyFont="1" applyBorder="1" applyAlignment="1">
      <alignment horizontal="center" vertical="center"/>
    </xf>
    <xf numFmtId="167" fontId="7" fillId="3" borderId="5" xfId="0" applyNumberFormat="1" applyFont="1" applyFill="1" applyBorder="1" applyAlignment="1">
      <alignment horizontal="center" vertical="center"/>
    </xf>
    <xf numFmtId="167" fontId="7" fillId="3" borderId="7" xfId="0" applyNumberFormat="1" applyFont="1" applyFill="1" applyBorder="1" applyAlignment="1">
      <alignment horizontal="center" vertical="center"/>
    </xf>
    <xf numFmtId="167" fontId="7" fillId="0" borderId="5" xfId="0" applyNumberFormat="1" applyFont="1" applyBorder="1" applyAlignment="1">
      <alignment horizontal="center" vertical="center"/>
    </xf>
    <xf numFmtId="167" fontId="7" fillId="0" borderId="7" xfId="0" applyNumberFormat="1" applyFont="1" applyBorder="1" applyAlignment="1">
      <alignment horizontal="center" vertical="center"/>
    </xf>
    <xf numFmtId="167" fontId="17" fillId="0" borderId="13" xfId="0" applyNumberFormat="1" applyFont="1" applyBorder="1" applyAlignment="1">
      <alignment vertical="center"/>
    </xf>
    <xf numFmtId="167" fontId="17" fillId="0" borderId="8" xfId="0" applyNumberFormat="1" applyFont="1" applyBorder="1" applyAlignment="1">
      <alignment vertical="center"/>
    </xf>
    <xf numFmtId="167" fontId="17" fillId="0" borderId="14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167" fontId="7" fillId="0" borderId="7" xfId="0" applyNumberFormat="1" applyFont="1" applyBorder="1" applyAlignment="1">
      <alignment vertical="center"/>
    </xf>
    <xf numFmtId="167" fontId="17" fillId="3" borderId="11" xfId="0" applyNumberFormat="1" applyFont="1" applyFill="1" applyBorder="1" applyAlignment="1">
      <alignment vertical="center"/>
    </xf>
    <xf numFmtId="167" fontId="17" fillId="3" borderId="1" xfId="0" applyNumberFormat="1" applyFont="1" applyFill="1" applyBorder="1" applyAlignment="1">
      <alignment vertical="center"/>
    </xf>
    <xf numFmtId="167" fontId="17" fillId="3" borderId="12" xfId="0" applyNumberFormat="1" applyFont="1" applyFill="1" applyBorder="1" applyAlignment="1">
      <alignment vertical="center"/>
    </xf>
    <xf numFmtId="167" fontId="10" fillId="0" borderId="11" xfId="0" applyNumberFormat="1" applyFont="1" applyBorder="1" applyAlignment="1">
      <alignment vertical="center"/>
    </xf>
    <xf numFmtId="167" fontId="10" fillId="0" borderId="1" xfId="0" applyNumberFormat="1" applyFont="1" applyBorder="1" applyAlignment="1">
      <alignment vertical="center"/>
    </xf>
    <xf numFmtId="167" fontId="10" fillId="0" borderId="12" xfId="0" applyNumberFormat="1" applyFont="1" applyBorder="1" applyAlignment="1">
      <alignment vertical="center"/>
    </xf>
    <xf numFmtId="167" fontId="7" fillId="3" borderId="5" xfId="0" applyNumberFormat="1" applyFont="1" applyFill="1" applyBorder="1" applyAlignment="1">
      <alignment horizontal="center"/>
    </xf>
    <xf numFmtId="167" fontId="7" fillId="3" borderId="0" xfId="0" applyNumberFormat="1" applyFont="1" applyFill="1" applyAlignment="1">
      <alignment horizontal="center"/>
    </xf>
    <xf numFmtId="167" fontId="7" fillId="3" borderId="7" xfId="0" applyNumberFormat="1" applyFont="1" applyFill="1" applyBorder="1" applyAlignment="1">
      <alignment horizontal="center"/>
    </xf>
    <xf numFmtId="0" fontId="27" fillId="0" borderId="16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1" fontId="23" fillId="0" borderId="10" xfId="0" applyNumberFormat="1" applyFont="1" applyBorder="1" applyAlignment="1">
      <alignment horizontal="center" vertical="center" wrapText="1"/>
    </xf>
    <xf numFmtId="1" fontId="23" fillId="0" borderId="4" xfId="0" applyNumberFormat="1" applyFont="1" applyBorder="1" applyAlignment="1">
      <alignment horizontal="center" vertical="center" wrapText="1"/>
    </xf>
    <xf numFmtId="1" fontId="23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Standard" xfId="0" builtinId="0"/>
  </cellStyles>
  <dxfs count="35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border>
        <left/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4" dropStyle="combo" dx="16" fmlaLink="DFIE!$D$6" fmlaRange="DFIE!$D$2:$D$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2049" name="Drop Down 1" hidden="1">
          <a:extLst>
            <a:ext uri="{63B3BB69-23CF-44E3-9099-C40C66FF867C}">
              <a14:compatExt xmlns:a14="http://schemas.microsoft.com/office/drawing/2010/main" spid="_x0000_s204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955040</xdr:colOff>
      <xdr:row>3</xdr:row>
      <xdr:rowOff>79375</xdr:rowOff>
    </xdr:to>
    <xdr:pic>
      <xdr:nvPicPr>
        <xdr:cNvPr id="3" name="Picture 37" descr="Logo_CMYK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6</xdr:row>
          <xdr:rowOff>38100</xdr:rowOff>
        </xdr:from>
        <xdr:to>
          <xdr:col>3</xdr:col>
          <xdr:colOff>857250</xdr:colOff>
          <xdr:row>7</xdr:row>
          <xdr:rowOff>114300</xdr:rowOff>
        </xdr:to>
        <xdr:sp macro="" textlink="">
          <xdr:nvSpPr>
            <xdr:cNvPr id="2" name="Drop Down 1025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B1:E51"/>
  <sheetViews>
    <sheetView showGridLines="0" showRowColHeaders="0" tabSelected="1" zoomScaleNormal="100" workbookViewId="0">
      <selection activeCell="A87" sqref="A87"/>
    </sheetView>
  </sheetViews>
  <sheetFormatPr baseColWidth="10" defaultColWidth="9.140625" defaultRowHeight="12.75" x14ac:dyDescent="0.2"/>
  <cols>
    <col min="1" max="1" width="2.7109375" customWidth="1"/>
    <col min="2" max="4" width="15.7109375" customWidth="1"/>
    <col min="5" max="5" width="41.28515625" customWidth="1"/>
  </cols>
  <sheetData>
    <row r="1" spans="2:5" ht="18" customHeight="1" x14ac:dyDescent="0.2">
      <c r="E1" s="4" t="str">
        <f>DFIE!B10</f>
        <v>Eidgenössisches Finanzdepartement EFD</v>
      </c>
    </row>
    <row r="2" spans="2:5" x14ac:dyDescent="0.2">
      <c r="E2" s="5" t="str">
        <f>DFIE!B11</f>
        <v>Eidgenössische Finanzverwaltung EFV</v>
      </c>
    </row>
    <row r="7" spans="2:5" x14ac:dyDescent="0.2">
      <c r="B7" s="6" t="s">
        <v>125</v>
      </c>
    </row>
    <row r="8" spans="2:5" x14ac:dyDescent="0.2">
      <c r="B8" s="6" t="s">
        <v>126</v>
      </c>
    </row>
    <row r="9" spans="2:5" x14ac:dyDescent="0.2">
      <c r="B9" s="6" t="s">
        <v>127</v>
      </c>
    </row>
    <row r="10" spans="2:5" x14ac:dyDescent="0.2">
      <c r="B10" s="6" t="s">
        <v>128</v>
      </c>
    </row>
    <row r="13" spans="2:5" ht="21" customHeight="1" x14ac:dyDescent="0.25">
      <c r="B13" s="7" t="str">
        <f>DFIE!B12</f>
        <v>Finanzausgleich zwischen Bund und Kantonen</v>
      </c>
    </row>
    <row r="14" spans="2:5" ht="21" customHeight="1" x14ac:dyDescent="0.25">
      <c r="B14" s="7" t="str">
        <f>DFIE!B13</f>
        <v>Lastenausgleich 2019</v>
      </c>
    </row>
    <row r="15" spans="2:5" ht="15" customHeight="1" x14ac:dyDescent="0.2"/>
    <row r="16" spans="2:5" ht="15" customHeight="1" x14ac:dyDescent="0.2"/>
    <row r="17" spans="2:5" ht="20.25" customHeight="1" x14ac:dyDescent="0.2">
      <c r="B17" s="12" t="s">
        <v>129</v>
      </c>
      <c r="C17" s="367" t="str">
        <f>DFIE!B14</f>
        <v>Übersicht über die Zahlungen im Lastenausgleich</v>
      </c>
      <c r="D17" s="367"/>
      <c r="E17" s="367"/>
    </row>
    <row r="18" spans="2:5" ht="16.5" customHeight="1" x14ac:dyDescent="0.2">
      <c r="B18" s="8"/>
      <c r="C18" s="9"/>
    </row>
    <row r="19" spans="2:5" ht="20.25" customHeight="1" x14ac:dyDescent="0.2">
      <c r="B19" s="13" t="s">
        <v>130</v>
      </c>
      <c r="C19" s="366" t="str">
        <f>DFIE!B15</f>
        <v>Fortschreibung der Dotationen im Lastenausgleich</v>
      </c>
      <c r="D19" s="366"/>
      <c r="E19" s="366"/>
    </row>
    <row r="20" spans="2:5" ht="20.25" customHeight="1" x14ac:dyDescent="0.2">
      <c r="B20" s="13" t="s">
        <v>172</v>
      </c>
      <c r="C20" s="366" t="str">
        <f>DFIE!B16</f>
        <v>Daten geografischer Lastenausgleich</v>
      </c>
      <c r="D20" s="366"/>
      <c r="E20" s="366"/>
    </row>
    <row r="21" spans="2:5" ht="20.25" customHeight="1" x14ac:dyDescent="0.2">
      <c r="B21" s="13" t="s">
        <v>173</v>
      </c>
      <c r="C21" s="366" t="str">
        <f>DFIE!B17</f>
        <v>Zahlungen geografischer Lastenausgleich</v>
      </c>
      <c r="D21" s="366"/>
      <c r="E21" s="366"/>
    </row>
    <row r="22" spans="2:5" ht="20.25" customHeight="1" x14ac:dyDescent="0.2">
      <c r="B22" s="13" t="s">
        <v>174</v>
      </c>
      <c r="C22" s="366" t="str">
        <f>DFIE!B18</f>
        <v>Daten soziodemografischer Lastenausgleich A-C</v>
      </c>
      <c r="D22" s="366"/>
      <c r="E22" s="366"/>
    </row>
    <row r="23" spans="2:5" ht="20.25" customHeight="1" x14ac:dyDescent="0.2">
      <c r="B23" s="13" t="s">
        <v>175</v>
      </c>
      <c r="C23" s="366" t="str">
        <f>DFIE!B19</f>
        <v>Zahlungen soziodemografischer Lastenausgleich A-C</v>
      </c>
      <c r="D23" s="366"/>
      <c r="E23" s="366"/>
    </row>
    <row r="24" spans="2:5" ht="20.25" customHeight="1" x14ac:dyDescent="0.2">
      <c r="B24" s="13" t="s">
        <v>176</v>
      </c>
      <c r="C24" s="366" t="str">
        <f>DFIE!B20</f>
        <v>Daten soziodemografischer Lastenausgleich F</v>
      </c>
      <c r="D24" s="366"/>
      <c r="E24" s="366"/>
    </row>
    <row r="25" spans="2:5" ht="20.25" customHeight="1" x14ac:dyDescent="0.2">
      <c r="B25" s="13" t="s">
        <v>177</v>
      </c>
      <c r="C25" s="366" t="str">
        <f>DFIE!B21</f>
        <v>Zahlungen soziodemografischer Lastenausgleich F</v>
      </c>
      <c r="D25" s="366"/>
      <c r="E25" s="366"/>
    </row>
    <row r="26" spans="2:5" ht="12.75" customHeight="1" x14ac:dyDescent="0.2"/>
    <row r="47" spans="2:5" x14ac:dyDescent="0.2">
      <c r="B47" s="10"/>
      <c r="C47" s="10"/>
      <c r="D47" s="10"/>
      <c r="E47" s="10"/>
    </row>
    <row r="49" spans="2:4" x14ac:dyDescent="0.2">
      <c r="B49" s="11"/>
      <c r="C49" s="11" t="str">
        <f>DFIE!B62</f>
        <v>Referenzjahr</v>
      </c>
      <c r="D49" s="1">
        <v>2019</v>
      </c>
    </row>
    <row r="50" spans="2:4" x14ac:dyDescent="0.2">
      <c r="B50" s="11"/>
      <c r="C50" s="11" t="str">
        <f>DFIE!B63</f>
        <v>Berechnungsdatum</v>
      </c>
      <c r="D50" s="2" t="s">
        <v>578</v>
      </c>
    </row>
    <row r="51" spans="2:4" x14ac:dyDescent="0.2">
      <c r="B51" s="11"/>
      <c r="C51" s="11" t="str">
        <f>DFIE!B64</f>
        <v>Berechnungs-ID</v>
      </c>
      <c r="D51" s="3" t="s">
        <v>579</v>
      </c>
    </row>
  </sheetData>
  <mergeCells count="8">
    <mergeCell ref="C24:E24"/>
    <mergeCell ref="C25:E25"/>
    <mergeCell ref="C17:E17"/>
    <mergeCell ref="C19:E19"/>
    <mergeCell ref="C20:E20"/>
    <mergeCell ref="C21:E21"/>
    <mergeCell ref="C22:E22"/>
    <mergeCell ref="C23:E23"/>
  </mergeCells>
  <conditionalFormatting sqref="D49:D51">
    <cfRule type="expression" dxfId="34" priority="2" stopIfTrue="1">
      <formula>ISBLANK(D49)</formula>
    </cfRule>
  </conditionalFormatting>
  <conditionalFormatting sqref="B20:B25">
    <cfRule type="duplicateValues" dxfId="33" priority="25"/>
  </conditionalFormatting>
  <hyperlinks>
    <hyperlink ref="B19" location="DOT!A1" display="DOT"/>
    <hyperlink ref="B20" location="GLA_1!A1" display="GLA_1"/>
    <hyperlink ref="B21" location="GLA_2!A1" display="GLA_2"/>
    <hyperlink ref="B22" location="SLA_AC_1!A1" display="SLA_AC_1"/>
    <hyperlink ref="B23" location="SLA_AC_2!A1" display="SLA_AC_2"/>
    <hyperlink ref="B24" location="SLA_F_1!A1" display="SLA_F_1"/>
    <hyperlink ref="B25" location="SLA_F_2!A1" display="SLA_F_2"/>
    <hyperlink ref="B17" location="TOTAL!A1" display="TOTAL"/>
  </hyperlinks>
  <pageMargins left="0.7" right="0.54" top="0.78740157499999996" bottom="0.78740157499999996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3" name="Drop Down 1025">
              <controlPr defaultSize="0" autoLine="0" autoPict="0">
                <anchor moveWithCells="1">
                  <from>
                    <xdr:col>2</xdr:col>
                    <xdr:colOff>628650</xdr:colOff>
                    <xdr:row>6</xdr:row>
                    <xdr:rowOff>38100</xdr:rowOff>
                  </from>
                  <to>
                    <xdr:col>3</xdr:col>
                    <xdr:colOff>857250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J177"/>
  <sheetViews>
    <sheetView workbookViewId="0">
      <pane ySplit="9" topLeftCell="A10" activePane="bottomLeft" state="frozen"/>
      <selection activeCell="D35" sqref="D35:F35"/>
      <selection pane="bottomLeft" activeCell="I1" sqref="I1"/>
    </sheetView>
  </sheetViews>
  <sheetFormatPr baseColWidth="10" defaultColWidth="9.140625" defaultRowHeight="12.75" x14ac:dyDescent="0.2"/>
  <cols>
    <col min="1" max="1" width="2.7109375" customWidth="1"/>
    <col min="2" max="2" width="57.5703125" customWidth="1"/>
    <col min="3" max="3" width="6.7109375" customWidth="1"/>
    <col min="4" max="7" width="18.7109375" customWidth="1"/>
  </cols>
  <sheetData>
    <row r="1" spans="1:10" ht="12.75" customHeight="1" x14ac:dyDescent="0.2">
      <c r="B1" s="293" t="s">
        <v>131</v>
      </c>
      <c r="D1" s="350" t="s">
        <v>132</v>
      </c>
      <c r="G1" s="350" t="s">
        <v>73</v>
      </c>
    </row>
    <row r="2" spans="1:10" ht="12.75" customHeight="1" x14ac:dyDescent="0.2">
      <c r="B2" s="293" t="s">
        <v>133</v>
      </c>
      <c r="D2" s="351" t="s">
        <v>134</v>
      </c>
      <c r="E2" s="349"/>
      <c r="G2" s="352">
        <f>INTRO!$D$49</f>
        <v>2019</v>
      </c>
    </row>
    <row r="3" spans="1:10" ht="12.75" customHeight="1" x14ac:dyDescent="0.2">
      <c r="B3" s="293"/>
      <c r="D3" s="353" t="s">
        <v>135</v>
      </c>
      <c r="E3" s="349"/>
    </row>
    <row r="4" spans="1:10" ht="12" customHeight="1" x14ac:dyDescent="0.2">
      <c r="A4" s="11"/>
      <c r="B4" s="354" t="s">
        <v>136</v>
      </c>
      <c r="C4" s="349"/>
      <c r="D4" s="353" t="s">
        <v>137</v>
      </c>
      <c r="E4" s="349"/>
      <c r="F4" s="11"/>
      <c r="H4" s="11"/>
      <c r="J4" s="11"/>
    </row>
    <row r="5" spans="1:10" ht="12" customHeight="1" x14ac:dyDescent="0.2">
      <c r="B5" s="354" t="s">
        <v>138</v>
      </c>
      <c r="D5" s="356" t="s">
        <v>139</v>
      </c>
      <c r="E5" s="349"/>
    </row>
    <row r="6" spans="1:10" ht="12.75" customHeight="1" x14ac:dyDescent="0.2">
      <c r="B6" s="293"/>
      <c r="D6" s="357">
        <v>1</v>
      </c>
      <c r="E6" s="349"/>
    </row>
    <row r="7" spans="1:10" x14ac:dyDescent="0.2">
      <c r="B7" s="355"/>
      <c r="D7" s="358"/>
      <c r="E7" s="358"/>
    </row>
    <row r="8" spans="1:10" x14ac:dyDescent="0.2">
      <c r="B8" s="359">
        <f>ROW()</f>
        <v>8</v>
      </c>
      <c r="C8" s="349" t="s">
        <v>140</v>
      </c>
      <c r="D8" s="357">
        <v>1</v>
      </c>
      <c r="E8" s="357">
        <v>2</v>
      </c>
      <c r="F8" s="357">
        <v>3</v>
      </c>
      <c r="G8" s="357">
        <v>4</v>
      </c>
      <c r="H8" s="11" t="s">
        <v>140</v>
      </c>
    </row>
    <row r="9" spans="1:10" x14ac:dyDescent="0.2">
      <c r="A9" s="355"/>
      <c r="B9" s="360" t="str">
        <f>HLOOKUP($D$6,D8:G9,2,FALSE)</f>
        <v>Deutsch</v>
      </c>
      <c r="C9" s="349" t="s">
        <v>140</v>
      </c>
      <c r="D9" s="350" t="s">
        <v>134</v>
      </c>
      <c r="E9" s="350" t="s">
        <v>135</v>
      </c>
      <c r="F9" s="350" t="s">
        <v>137</v>
      </c>
      <c r="G9" s="350" t="s">
        <v>139</v>
      </c>
      <c r="H9" s="11" t="s">
        <v>140</v>
      </c>
    </row>
    <row r="10" spans="1:10" x14ac:dyDescent="0.2">
      <c r="B10" s="361" t="str">
        <f t="shared" ref="B10:B41" si="0">HLOOKUP($B$9,$D$9:$G$177,ROW()-$B$8,FALSE)</f>
        <v>Eidgenössisches Finanzdepartement EFD</v>
      </c>
      <c r="C10" s="349" t="s">
        <v>140</v>
      </c>
      <c r="D10" s="11" t="s">
        <v>141</v>
      </c>
      <c r="E10" s="11" t="s">
        <v>142</v>
      </c>
      <c r="F10" s="11" t="s">
        <v>312</v>
      </c>
      <c r="G10" s="11" t="s">
        <v>218</v>
      </c>
      <c r="H10" s="11" t="s">
        <v>140</v>
      </c>
    </row>
    <row r="11" spans="1:10" x14ac:dyDescent="0.2">
      <c r="B11" s="362" t="str">
        <f t="shared" si="0"/>
        <v>Eidgenössische Finanzverwaltung EFV</v>
      </c>
      <c r="C11" s="349" t="s">
        <v>140</v>
      </c>
      <c r="D11" s="11" t="s">
        <v>143</v>
      </c>
      <c r="E11" s="11" t="s">
        <v>144</v>
      </c>
      <c r="F11" s="11" t="s">
        <v>313</v>
      </c>
      <c r="G11" s="11" t="s">
        <v>259</v>
      </c>
      <c r="H11" s="11" t="s">
        <v>140</v>
      </c>
    </row>
    <row r="12" spans="1:10" x14ac:dyDescent="0.2">
      <c r="B12" s="362" t="str">
        <f t="shared" si="0"/>
        <v>Finanzausgleich zwischen Bund und Kantonen</v>
      </c>
      <c r="C12" s="349" t="s">
        <v>140</v>
      </c>
      <c r="D12" s="11" t="s">
        <v>145</v>
      </c>
      <c r="E12" s="11" t="s">
        <v>146</v>
      </c>
      <c r="F12" s="11" t="s">
        <v>314</v>
      </c>
      <c r="G12" s="11" t="s">
        <v>260</v>
      </c>
      <c r="H12" s="11" t="s">
        <v>140</v>
      </c>
    </row>
    <row r="13" spans="1:10" x14ac:dyDescent="0.2">
      <c r="B13" s="363" t="str">
        <f t="shared" si="0"/>
        <v>Lastenausgleich 2019</v>
      </c>
      <c r="C13" s="349" t="s">
        <v>140</v>
      </c>
      <c r="D13" s="11" t="str">
        <f>"Lastenausgleich " &amp; $G$2</f>
        <v>Lastenausgleich 2019</v>
      </c>
      <c r="E13" s="11" t="str">
        <f>"Compensation des charges " &amp; $G$2</f>
        <v>Compensation des charges 2019</v>
      </c>
      <c r="F13" s="11" t="str">
        <f>"Compensazione degli oneri " &amp; $G$2</f>
        <v>Compensazione degli oneri 2019</v>
      </c>
      <c r="G13" s="11" t="str">
        <f>"Cost compensation " &amp; $G$2</f>
        <v>Cost compensation 2019</v>
      </c>
      <c r="H13" s="11" t="s">
        <v>140</v>
      </c>
    </row>
    <row r="14" spans="1:10" x14ac:dyDescent="0.2">
      <c r="B14" s="362" t="str">
        <f t="shared" si="0"/>
        <v>Übersicht über die Zahlungen im Lastenausgleich</v>
      </c>
      <c r="C14" s="349" t="s">
        <v>140</v>
      </c>
      <c r="D14" s="11" t="s">
        <v>121</v>
      </c>
      <c r="E14" s="11" t="s">
        <v>289</v>
      </c>
      <c r="F14" s="11" t="s">
        <v>315</v>
      </c>
      <c r="G14" s="11" t="s">
        <v>261</v>
      </c>
      <c r="H14" s="11" t="s">
        <v>140</v>
      </c>
    </row>
    <row r="15" spans="1:10" x14ac:dyDescent="0.2">
      <c r="B15" s="362" t="str">
        <f t="shared" si="0"/>
        <v>Fortschreibung der Dotationen im Lastenausgleich</v>
      </c>
      <c r="C15" s="349" t="s">
        <v>140</v>
      </c>
      <c r="D15" s="11" t="s">
        <v>409</v>
      </c>
      <c r="E15" s="11" t="s">
        <v>410</v>
      </c>
      <c r="F15" s="11" t="s">
        <v>411</v>
      </c>
      <c r="G15" s="11" t="s">
        <v>412</v>
      </c>
      <c r="H15" s="11" t="s">
        <v>140</v>
      </c>
    </row>
    <row r="16" spans="1:10" x14ac:dyDescent="0.2">
      <c r="B16" s="362" t="str">
        <f t="shared" si="0"/>
        <v>Daten geografischer Lastenausgleich</v>
      </c>
      <c r="C16" s="349" t="s">
        <v>140</v>
      </c>
      <c r="D16" s="11" t="s">
        <v>118</v>
      </c>
      <c r="E16" s="11" t="s">
        <v>439</v>
      </c>
      <c r="F16" s="11" t="s">
        <v>438</v>
      </c>
      <c r="G16" s="11" t="s">
        <v>262</v>
      </c>
      <c r="H16" s="11" t="s">
        <v>140</v>
      </c>
    </row>
    <row r="17" spans="2:8" x14ac:dyDescent="0.2">
      <c r="B17" s="362" t="str">
        <f t="shared" si="0"/>
        <v>Zahlungen geografischer Lastenausgleich</v>
      </c>
      <c r="C17" s="349" t="s">
        <v>140</v>
      </c>
      <c r="D17" s="11" t="s">
        <v>122</v>
      </c>
      <c r="E17" s="11" t="s">
        <v>440</v>
      </c>
      <c r="F17" s="11" t="s">
        <v>316</v>
      </c>
      <c r="G17" s="11" t="s">
        <v>263</v>
      </c>
      <c r="H17" s="11" t="s">
        <v>140</v>
      </c>
    </row>
    <row r="18" spans="2:8" x14ac:dyDescent="0.2">
      <c r="B18" s="362" t="str">
        <f t="shared" si="0"/>
        <v>Daten soziodemografischer Lastenausgleich A-C</v>
      </c>
      <c r="C18" s="349" t="s">
        <v>140</v>
      </c>
      <c r="D18" s="11" t="s">
        <v>119</v>
      </c>
      <c r="E18" s="11" t="s">
        <v>441</v>
      </c>
      <c r="F18" s="11" t="s">
        <v>317</v>
      </c>
      <c r="G18" s="11" t="s">
        <v>264</v>
      </c>
      <c r="H18" s="11" t="s">
        <v>140</v>
      </c>
    </row>
    <row r="19" spans="2:8" x14ac:dyDescent="0.2">
      <c r="B19" s="362" t="str">
        <f t="shared" si="0"/>
        <v>Zahlungen soziodemografischer Lastenausgleich A-C</v>
      </c>
      <c r="C19" s="349" t="s">
        <v>140</v>
      </c>
      <c r="D19" s="11" t="s">
        <v>123</v>
      </c>
      <c r="E19" s="11" t="s">
        <v>442</v>
      </c>
      <c r="F19" s="11" t="s">
        <v>318</v>
      </c>
      <c r="G19" s="11" t="s">
        <v>265</v>
      </c>
      <c r="H19" s="11" t="s">
        <v>140</v>
      </c>
    </row>
    <row r="20" spans="2:8" x14ac:dyDescent="0.2">
      <c r="B20" s="362" t="str">
        <f t="shared" si="0"/>
        <v>Daten soziodemografischer Lastenausgleich F</v>
      </c>
      <c r="C20" s="349" t="s">
        <v>140</v>
      </c>
      <c r="D20" s="11" t="s">
        <v>120</v>
      </c>
      <c r="E20" s="11" t="s">
        <v>443</v>
      </c>
      <c r="F20" s="11" t="s">
        <v>319</v>
      </c>
      <c r="G20" s="11" t="s">
        <v>266</v>
      </c>
      <c r="H20" s="11" t="s">
        <v>140</v>
      </c>
    </row>
    <row r="21" spans="2:8" x14ac:dyDescent="0.2">
      <c r="B21" s="363" t="str">
        <f t="shared" si="0"/>
        <v>Zahlungen soziodemografischer Lastenausgleich F</v>
      </c>
      <c r="C21" s="349" t="s">
        <v>140</v>
      </c>
      <c r="D21" s="11" t="s">
        <v>124</v>
      </c>
      <c r="E21" s="11" t="s">
        <v>444</v>
      </c>
      <c r="F21" s="11" t="s">
        <v>320</v>
      </c>
      <c r="G21" s="11" t="s">
        <v>267</v>
      </c>
      <c r="H21" s="11" t="s">
        <v>140</v>
      </c>
    </row>
    <row r="22" spans="2:8" x14ac:dyDescent="0.2">
      <c r="B22" s="362" t="str">
        <f t="shared" si="0"/>
        <v>Zürich</v>
      </c>
      <c r="C22" s="349" t="s">
        <v>140</v>
      </c>
      <c r="D22" s="11" t="s">
        <v>4</v>
      </c>
      <c r="E22" s="11" t="s">
        <v>147</v>
      </c>
      <c r="F22" s="11" t="s">
        <v>321</v>
      </c>
      <c r="G22" s="11" t="s">
        <v>147</v>
      </c>
      <c r="H22" s="11" t="s">
        <v>140</v>
      </c>
    </row>
    <row r="23" spans="2:8" x14ac:dyDescent="0.2">
      <c r="B23" s="362" t="str">
        <f t="shared" si="0"/>
        <v>Bern</v>
      </c>
      <c r="C23" s="349" t="s">
        <v>140</v>
      </c>
      <c r="D23" s="11" t="s">
        <v>5</v>
      </c>
      <c r="E23" s="11" t="s">
        <v>148</v>
      </c>
      <c r="F23" s="11" t="s">
        <v>322</v>
      </c>
      <c r="G23" s="11" t="s">
        <v>5</v>
      </c>
      <c r="H23" s="11" t="s">
        <v>140</v>
      </c>
    </row>
    <row r="24" spans="2:8" x14ac:dyDescent="0.2">
      <c r="B24" s="362" t="str">
        <f t="shared" si="0"/>
        <v>Luzern</v>
      </c>
      <c r="C24" s="349" t="s">
        <v>140</v>
      </c>
      <c r="D24" s="11" t="s">
        <v>6</v>
      </c>
      <c r="E24" s="11" t="s">
        <v>149</v>
      </c>
      <c r="F24" s="11" t="s">
        <v>323</v>
      </c>
      <c r="G24" s="11" t="s">
        <v>6</v>
      </c>
      <c r="H24" s="11" t="s">
        <v>140</v>
      </c>
    </row>
    <row r="25" spans="2:8" x14ac:dyDescent="0.2">
      <c r="B25" s="362" t="str">
        <f t="shared" si="0"/>
        <v>Uri</v>
      </c>
      <c r="C25" s="349" t="s">
        <v>140</v>
      </c>
      <c r="D25" s="11" t="s">
        <v>7</v>
      </c>
      <c r="E25" s="11" t="s">
        <v>7</v>
      </c>
      <c r="F25" s="11" t="s">
        <v>7</v>
      </c>
      <c r="G25" s="11" t="s">
        <v>7</v>
      </c>
      <c r="H25" s="11" t="s">
        <v>140</v>
      </c>
    </row>
    <row r="26" spans="2:8" x14ac:dyDescent="0.2">
      <c r="B26" s="362" t="str">
        <f t="shared" si="0"/>
        <v>Schwyz</v>
      </c>
      <c r="C26" s="349" t="s">
        <v>140</v>
      </c>
      <c r="D26" s="11" t="s">
        <v>8</v>
      </c>
      <c r="E26" s="11" t="s">
        <v>8</v>
      </c>
      <c r="F26" s="11" t="s">
        <v>324</v>
      </c>
      <c r="G26" s="11" t="s">
        <v>8</v>
      </c>
      <c r="H26" s="11" t="s">
        <v>140</v>
      </c>
    </row>
    <row r="27" spans="2:8" x14ac:dyDescent="0.2">
      <c r="B27" s="362" t="str">
        <f t="shared" si="0"/>
        <v>Obwalden</v>
      </c>
      <c r="C27" s="349" t="s">
        <v>140</v>
      </c>
      <c r="D27" s="11" t="s">
        <v>9</v>
      </c>
      <c r="E27" s="11" t="s">
        <v>150</v>
      </c>
      <c r="F27" s="11" t="s">
        <v>325</v>
      </c>
      <c r="G27" s="11" t="s">
        <v>9</v>
      </c>
      <c r="H27" s="11" t="s">
        <v>140</v>
      </c>
    </row>
    <row r="28" spans="2:8" x14ac:dyDescent="0.2">
      <c r="B28" s="362" t="str">
        <f t="shared" si="0"/>
        <v>Nidwalden</v>
      </c>
      <c r="C28" s="349" t="s">
        <v>140</v>
      </c>
      <c r="D28" s="11" t="s">
        <v>10</v>
      </c>
      <c r="E28" s="11" t="s">
        <v>151</v>
      </c>
      <c r="F28" s="11" t="s">
        <v>326</v>
      </c>
      <c r="G28" s="11" t="s">
        <v>10</v>
      </c>
      <c r="H28" s="11" t="s">
        <v>140</v>
      </c>
    </row>
    <row r="29" spans="2:8" x14ac:dyDescent="0.2">
      <c r="B29" s="362" t="str">
        <f t="shared" si="0"/>
        <v>Glarus</v>
      </c>
      <c r="C29" s="349" t="s">
        <v>140</v>
      </c>
      <c r="D29" s="11" t="s">
        <v>11</v>
      </c>
      <c r="E29" s="11" t="s">
        <v>152</v>
      </c>
      <c r="F29" s="11" t="s">
        <v>327</v>
      </c>
      <c r="G29" s="11" t="s">
        <v>11</v>
      </c>
      <c r="H29" s="11" t="s">
        <v>140</v>
      </c>
    </row>
    <row r="30" spans="2:8" x14ac:dyDescent="0.2">
      <c r="B30" s="362" t="str">
        <f t="shared" si="0"/>
        <v>Zug</v>
      </c>
      <c r="C30" s="349" t="s">
        <v>140</v>
      </c>
      <c r="D30" s="11" t="s">
        <v>12</v>
      </c>
      <c r="E30" s="11" t="s">
        <v>153</v>
      </c>
      <c r="F30" s="11" t="s">
        <v>328</v>
      </c>
      <c r="G30" s="11" t="s">
        <v>12</v>
      </c>
      <c r="H30" s="11" t="s">
        <v>140</v>
      </c>
    </row>
    <row r="31" spans="2:8" x14ac:dyDescent="0.2">
      <c r="B31" s="362" t="str">
        <f t="shared" si="0"/>
        <v>Freiburg</v>
      </c>
      <c r="C31" s="349" t="s">
        <v>140</v>
      </c>
      <c r="D31" s="11" t="s">
        <v>13</v>
      </c>
      <c r="E31" s="11" t="s">
        <v>154</v>
      </c>
      <c r="F31" s="11" t="s">
        <v>329</v>
      </c>
      <c r="G31" s="11" t="s">
        <v>154</v>
      </c>
      <c r="H31" s="11" t="s">
        <v>140</v>
      </c>
    </row>
    <row r="32" spans="2:8" x14ac:dyDescent="0.2">
      <c r="B32" s="362" t="str">
        <f t="shared" si="0"/>
        <v>Solothurn</v>
      </c>
      <c r="C32" s="349" t="s">
        <v>140</v>
      </c>
      <c r="D32" s="11" t="s">
        <v>14</v>
      </c>
      <c r="E32" s="11" t="s">
        <v>155</v>
      </c>
      <c r="F32" s="11" t="s">
        <v>330</v>
      </c>
      <c r="G32" s="11" t="s">
        <v>14</v>
      </c>
      <c r="H32" s="11" t="s">
        <v>140</v>
      </c>
    </row>
    <row r="33" spans="2:8" x14ac:dyDescent="0.2">
      <c r="B33" s="362" t="str">
        <f t="shared" si="0"/>
        <v>Basel-Stadt</v>
      </c>
      <c r="C33" s="349" t="s">
        <v>140</v>
      </c>
      <c r="D33" s="11" t="s">
        <v>15</v>
      </c>
      <c r="E33" s="11" t="s">
        <v>156</v>
      </c>
      <c r="F33" s="11" t="s">
        <v>331</v>
      </c>
      <c r="G33" s="11" t="s">
        <v>268</v>
      </c>
      <c r="H33" s="11" t="s">
        <v>140</v>
      </c>
    </row>
    <row r="34" spans="2:8" x14ac:dyDescent="0.2">
      <c r="B34" s="362" t="str">
        <f t="shared" si="0"/>
        <v>Basel-Landschaft</v>
      </c>
      <c r="C34" s="349" t="s">
        <v>140</v>
      </c>
      <c r="D34" s="11" t="s">
        <v>16</v>
      </c>
      <c r="E34" s="11" t="s">
        <v>157</v>
      </c>
      <c r="F34" s="11" t="s">
        <v>332</v>
      </c>
      <c r="G34" s="11" t="s">
        <v>269</v>
      </c>
      <c r="H34" s="11" t="s">
        <v>140</v>
      </c>
    </row>
    <row r="35" spans="2:8" x14ac:dyDescent="0.2">
      <c r="B35" s="362" t="str">
        <f t="shared" si="0"/>
        <v>Schaffhausen</v>
      </c>
      <c r="C35" s="349" t="s">
        <v>140</v>
      </c>
      <c r="D35" s="11" t="s">
        <v>17</v>
      </c>
      <c r="E35" s="11" t="s">
        <v>158</v>
      </c>
      <c r="F35" s="11" t="s">
        <v>333</v>
      </c>
      <c r="G35" s="11" t="s">
        <v>17</v>
      </c>
      <c r="H35" s="11" t="s">
        <v>140</v>
      </c>
    </row>
    <row r="36" spans="2:8" x14ac:dyDescent="0.2">
      <c r="B36" s="362" t="str">
        <f t="shared" si="0"/>
        <v>Appenzell A.Rh.</v>
      </c>
      <c r="C36" s="349" t="s">
        <v>140</v>
      </c>
      <c r="D36" s="11" t="s">
        <v>18</v>
      </c>
      <c r="E36" s="11" t="s">
        <v>159</v>
      </c>
      <c r="F36" s="11" t="s">
        <v>334</v>
      </c>
      <c r="G36" s="11" t="s">
        <v>18</v>
      </c>
      <c r="H36" s="11" t="s">
        <v>140</v>
      </c>
    </row>
    <row r="37" spans="2:8" x14ac:dyDescent="0.2">
      <c r="B37" s="362" t="str">
        <f t="shared" si="0"/>
        <v>Appenzell I.Rh.</v>
      </c>
      <c r="C37" s="349" t="s">
        <v>140</v>
      </c>
      <c r="D37" s="11" t="s">
        <v>19</v>
      </c>
      <c r="E37" s="11" t="s">
        <v>160</v>
      </c>
      <c r="F37" s="11" t="s">
        <v>335</v>
      </c>
      <c r="G37" s="11" t="s">
        <v>19</v>
      </c>
      <c r="H37" s="11" t="s">
        <v>140</v>
      </c>
    </row>
    <row r="38" spans="2:8" x14ac:dyDescent="0.2">
      <c r="B38" s="362" t="str">
        <f t="shared" si="0"/>
        <v>St. Gallen</v>
      </c>
      <c r="C38" s="349" t="s">
        <v>140</v>
      </c>
      <c r="D38" s="11" t="s">
        <v>20</v>
      </c>
      <c r="E38" s="11" t="s">
        <v>161</v>
      </c>
      <c r="F38" s="11" t="s">
        <v>336</v>
      </c>
      <c r="G38" s="11" t="s">
        <v>20</v>
      </c>
      <c r="H38" s="11" t="s">
        <v>140</v>
      </c>
    </row>
    <row r="39" spans="2:8" x14ac:dyDescent="0.2">
      <c r="B39" s="362" t="str">
        <f t="shared" si="0"/>
        <v>Graubünden</v>
      </c>
      <c r="C39" s="349" t="s">
        <v>140</v>
      </c>
      <c r="D39" s="11" t="s">
        <v>21</v>
      </c>
      <c r="E39" s="11" t="s">
        <v>162</v>
      </c>
      <c r="F39" s="11" t="s">
        <v>337</v>
      </c>
      <c r="G39" s="11" t="s">
        <v>21</v>
      </c>
      <c r="H39" s="11" t="s">
        <v>140</v>
      </c>
    </row>
    <row r="40" spans="2:8" x14ac:dyDescent="0.2">
      <c r="B40" s="362" t="str">
        <f t="shared" si="0"/>
        <v>Aargau</v>
      </c>
      <c r="C40" s="349" t="s">
        <v>140</v>
      </c>
      <c r="D40" s="11" t="s">
        <v>22</v>
      </c>
      <c r="E40" s="11" t="s">
        <v>163</v>
      </c>
      <c r="F40" s="11" t="s">
        <v>338</v>
      </c>
      <c r="G40" s="11" t="s">
        <v>22</v>
      </c>
      <c r="H40" s="11" t="s">
        <v>140</v>
      </c>
    </row>
    <row r="41" spans="2:8" x14ac:dyDescent="0.2">
      <c r="B41" s="362" t="str">
        <f t="shared" si="0"/>
        <v>Thurgau</v>
      </c>
      <c r="C41" s="349" t="s">
        <v>140</v>
      </c>
      <c r="D41" s="11" t="s">
        <v>23</v>
      </c>
      <c r="E41" s="11" t="s">
        <v>164</v>
      </c>
      <c r="F41" s="11" t="s">
        <v>339</v>
      </c>
      <c r="G41" s="11" t="s">
        <v>23</v>
      </c>
      <c r="H41" s="11" t="s">
        <v>140</v>
      </c>
    </row>
    <row r="42" spans="2:8" x14ac:dyDescent="0.2">
      <c r="B42" s="362" t="str">
        <f t="shared" ref="B42:B73" si="1">HLOOKUP($B$9,$D$9:$G$177,ROW()-$B$8,FALSE)</f>
        <v>Tessin</v>
      </c>
      <c r="C42" s="349" t="s">
        <v>140</v>
      </c>
      <c r="D42" s="11" t="s">
        <v>24</v>
      </c>
      <c r="E42" s="11" t="s">
        <v>24</v>
      </c>
      <c r="F42" s="11" t="s">
        <v>219</v>
      </c>
      <c r="G42" s="11" t="s">
        <v>219</v>
      </c>
      <c r="H42" s="11" t="s">
        <v>140</v>
      </c>
    </row>
    <row r="43" spans="2:8" x14ac:dyDescent="0.2">
      <c r="B43" s="362" t="str">
        <f t="shared" si="1"/>
        <v>Waadt</v>
      </c>
      <c r="C43" s="349" t="s">
        <v>140</v>
      </c>
      <c r="D43" s="11" t="s">
        <v>25</v>
      </c>
      <c r="E43" s="11" t="s">
        <v>165</v>
      </c>
      <c r="F43" s="11" t="s">
        <v>165</v>
      </c>
      <c r="G43" s="11" t="s">
        <v>165</v>
      </c>
      <c r="H43" s="11" t="s">
        <v>140</v>
      </c>
    </row>
    <row r="44" spans="2:8" x14ac:dyDescent="0.2">
      <c r="B44" s="362" t="str">
        <f t="shared" si="1"/>
        <v>Wallis</v>
      </c>
      <c r="C44" s="349" t="s">
        <v>140</v>
      </c>
      <c r="D44" s="11" t="s">
        <v>26</v>
      </c>
      <c r="E44" s="11" t="s">
        <v>166</v>
      </c>
      <c r="F44" s="11" t="s">
        <v>340</v>
      </c>
      <c r="G44" s="11" t="s">
        <v>166</v>
      </c>
      <c r="H44" s="11" t="s">
        <v>140</v>
      </c>
    </row>
    <row r="45" spans="2:8" x14ac:dyDescent="0.2">
      <c r="B45" s="362" t="str">
        <f t="shared" si="1"/>
        <v>Neuenburg</v>
      </c>
      <c r="C45" s="349" t="s">
        <v>140</v>
      </c>
      <c r="D45" s="11" t="s">
        <v>27</v>
      </c>
      <c r="E45" s="11" t="s">
        <v>167</v>
      </c>
      <c r="F45" s="11" t="s">
        <v>167</v>
      </c>
      <c r="G45" s="11" t="s">
        <v>167</v>
      </c>
      <c r="H45" s="11" t="s">
        <v>140</v>
      </c>
    </row>
    <row r="46" spans="2:8" x14ac:dyDescent="0.2">
      <c r="B46" s="362" t="str">
        <f t="shared" si="1"/>
        <v>Genf</v>
      </c>
      <c r="C46" s="349" t="s">
        <v>140</v>
      </c>
      <c r="D46" s="11" t="s">
        <v>28</v>
      </c>
      <c r="E46" s="11" t="s">
        <v>168</v>
      </c>
      <c r="F46" s="11" t="s">
        <v>341</v>
      </c>
      <c r="G46" s="11" t="s">
        <v>220</v>
      </c>
      <c r="H46" s="11" t="s">
        <v>140</v>
      </c>
    </row>
    <row r="47" spans="2:8" x14ac:dyDescent="0.2">
      <c r="B47" s="362" t="str">
        <f t="shared" si="1"/>
        <v>Jura</v>
      </c>
      <c r="C47" s="349" t="s">
        <v>140</v>
      </c>
      <c r="D47" s="11" t="s">
        <v>29</v>
      </c>
      <c r="E47" s="11" t="s">
        <v>29</v>
      </c>
      <c r="F47" s="11" t="s">
        <v>342</v>
      </c>
      <c r="G47" s="11" t="s">
        <v>29</v>
      </c>
      <c r="H47" s="11" t="s">
        <v>140</v>
      </c>
    </row>
    <row r="48" spans="2:8" x14ac:dyDescent="0.2">
      <c r="B48" s="363" t="str">
        <f t="shared" si="1"/>
        <v>Schweiz</v>
      </c>
      <c r="C48" s="349" t="s">
        <v>140</v>
      </c>
      <c r="D48" s="11" t="s">
        <v>82</v>
      </c>
      <c r="E48" s="11" t="s">
        <v>169</v>
      </c>
      <c r="F48" s="11" t="s">
        <v>343</v>
      </c>
      <c r="G48" s="11" t="s">
        <v>221</v>
      </c>
      <c r="H48" s="11" t="s">
        <v>140</v>
      </c>
    </row>
    <row r="49" spans="2:8" x14ac:dyDescent="0.2">
      <c r="B49" s="362" t="str">
        <f t="shared" si="1"/>
        <v>Spalte</v>
      </c>
      <c r="C49" s="349" t="s">
        <v>140</v>
      </c>
      <c r="D49" s="11" t="s">
        <v>48</v>
      </c>
      <c r="E49" s="11" t="s">
        <v>185</v>
      </c>
      <c r="F49" s="11" t="s">
        <v>344</v>
      </c>
      <c r="G49" s="11" t="s">
        <v>222</v>
      </c>
      <c r="H49" s="11" t="s">
        <v>140</v>
      </c>
    </row>
    <row r="50" spans="2:8" x14ac:dyDescent="0.2">
      <c r="B50" s="362" t="str">
        <f t="shared" si="1"/>
        <v>Formel</v>
      </c>
      <c r="C50" s="349" t="s">
        <v>140</v>
      </c>
      <c r="D50" s="11" t="s">
        <v>51</v>
      </c>
      <c r="E50" s="11" t="s">
        <v>186</v>
      </c>
      <c r="F50" s="11" t="s">
        <v>223</v>
      </c>
      <c r="G50" s="11" t="s">
        <v>223</v>
      </c>
      <c r="H50" s="11" t="s">
        <v>140</v>
      </c>
    </row>
    <row r="51" spans="2:8" x14ac:dyDescent="0.2">
      <c r="B51" s="362" t="str">
        <f t="shared" si="1"/>
        <v>Erhebungsjahr</v>
      </c>
      <c r="C51" s="349" t="s">
        <v>140</v>
      </c>
      <c r="D51" s="11" t="s">
        <v>3</v>
      </c>
      <c r="E51" s="11" t="s">
        <v>290</v>
      </c>
      <c r="F51" s="11" t="s">
        <v>345</v>
      </c>
      <c r="G51" s="11" t="s">
        <v>270</v>
      </c>
      <c r="H51" s="11" t="s">
        <v>140</v>
      </c>
    </row>
    <row r="52" spans="2:8" x14ac:dyDescent="0.2">
      <c r="B52" s="362" t="str">
        <f t="shared" si="1"/>
        <v>Einheit</v>
      </c>
      <c r="C52" s="349" t="s">
        <v>140</v>
      </c>
      <c r="D52" s="11" t="s">
        <v>86</v>
      </c>
      <c r="E52" s="11" t="s">
        <v>187</v>
      </c>
      <c r="F52" s="11" t="s">
        <v>346</v>
      </c>
      <c r="G52" s="11" t="s">
        <v>224</v>
      </c>
      <c r="H52" s="11" t="s">
        <v>140</v>
      </c>
    </row>
    <row r="53" spans="2:8" x14ac:dyDescent="0.2">
      <c r="B53" s="362" t="str">
        <f t="shared" si="1"/>
        <v>Indikator</v>
      </c>
      <c r="C53" s="349"/>
      <c r="D53" s="11" t="s">
        <v>1</v>
      </c>
      <c r="E53" s="11" t="s">
        <v>200</v>
      </c>
      <c r="F53" s="11" t="s">
        <v>347</v>
      </c>
      <c r="G53" s="11" t="s">
        <v>226</v>
      </c>
      <c r="H53" s="11" t="s">
        <v>140</v>
      </c>
    </row>
    <row r="54" spans="2:8" x14ac:dyDescent="0.2">
      <c r="B54" s="362" t="str">
        <f t="shared" si="1"/>
        <v>CHF</v>
      </c>
      <c r="C54" s="349"/>
      <c r="D54" s="11" t="s">
        <v>88</v>
      </c>
      <c r="E54" s="11" t="s">
        <v>88</v>
      </c>
      <c r="F54" s="11" t="s">
        <v>88</v>
      </c>
      <c r="G54" s="11" t="s">
        <v>88</v>
      </c>
      <c r="H54" s="11" t="s">
        <v>140</v>
      </c>
    </row>
    <row r="55" spans="2:8" x14ac:dyDescent="0.2">
      <c r="B55" s="362" t="str">
        <f t="shared" si="1"/>
        <v>CHF 1'000</v>
      </c>
      <c r="C55" s="349"/>
      <c r="D55" s="11" t="s">
        <v>170</v>
      </c>
      <c r="E55" s="11" t="s">
        <v>170</v>
      </c>
      <c r="F55" s="11" t="s">
        <v>348</v>
      </c>
      <c r="G55" s="11" t="s">
        <v>225</v>
      </c>
      <c r="H55" s="11" t="s">
        <v>140</v>
      </c>
    </row>
    <row r="56" spans="2:8" x14ac:dyDescent="0.2">
      <c r="B56" s="362" t="str">
        <f t="shared" si="1"/>
        <v>Anzahl</v>
      </c>
      <c r="C56" s="349" t="s">
        <v>140</v>
      </c>
      <c r="D56" s="11" t="s">
        <v>87</v>
      </c>
      <c r="E56" s="11" t="s">
        <v>188</v>
      </c>
      <c r="F56" s="11" t="s">
        <v>349</v>
      </c>
      <c r="G56" s="11" t="s">
        <v>271</v>
      </c>
      <c r="H56" s="11" t="s">
        <v>140</v>
      </c>
    </row>
    <row r="57" spans="2:8" x14ac:dyDescent="0.2">
      <c r="B57" s="362" t="str">
        <f t="shared" si="1"/>
        <v>Punkte</v>
      </c>
      <c r="C57" s="349" t="s">
        <v>140</v>
      </c>
      <c r="D57" s="11" t="s">
        <v>106</v>
      </c>
      <c r="E57" s="11" t="s">
        <v>189</v>
      </c>
      <c r="F57" s="11" t="s">
        <v>350</v>
      </c>
      <c r="G57" s="11" t="s">
        <v>189</v>
      </c>
      <c r="H57" s="11" t="s">
        <v>140</v>
      </c>
    </row>
    <row r="58" spans="2:8" x14ac:dyDescent="0.2">
      <c r="B58" s="362" t="str">
        <f t="shared" si="1"/>
        <v>Prozent</v>
      </c>
      <c r="C58" s="349" t="s">
        <v>140</v>
      </c>
      <c r="D58" s="11" t="s">
        <v>105</v>
      </c>
      <c r="E58" s="11" t="s">
        <v>415</v>
      </c>
      <c r="F58" s="11" t="s">
        <v>351</v>
      </c>
      <c r="G58" s="11" t="s">
        <v>272</v>
      </c>
      <c r="H58" s="11" t="s">
        <v>140</v>
      </c>
    </row>
    <row r="59" spans="2:8" x14ac:dyDescent="0.2">
      <c r="B59" s="362" t="str">
        <f t="shared" si="1"/>
        <v>Hektaren</v>
      </c>
      <c r="C59" s="349" t="s">
        <v>140</v>
      </c>
      <c r="D59" s="11" t="s">
        <v>93</v>
      </c>
      <c r="E59" s="11" t="s">
        <v>216</v>
      </c>
      <c r="F59" s="11" t="s">
        <v>352</v>
      </c>
      <c r="G59" s="11" t="s">
        <v>216</v>
      </c>
      <c r="H59" s="11" t="s">
        <v>140</v>
      </c>
    </row>
    <row r="60" spans="2:8" x14ac:dyDescent="0.2">
      <c r="B60" s="363" t="str">
        <f t="shared" si="1"/>
        <v>Meter ü. M.</v>
      </c>
      <c r="C60" s="349" t="s">
        <v>140</v>
      </c>
      <c r="D60" s="11" t="s">
        <v>117</v>
      </c>
      <c r="E60" s="11" t="s">
        <v>246</v>
      </c>
      <c r="F60" s="11" t="s">
        <v>353</v>
      </c>
      <c r="G60" s="11" t="s">
        <v>573</v>
      </c>
      <c r="H60" s="11" t="s">
        <v>140</v>
      </c>
    </row>
    <row r="61" spans="2:8" x14ac:dyDescent="0.2">
      <c r="B61" s="362" t="str">
        <f t="shared" si="1"/>
        <v>Total</v>
      </c>
      <c r="C61" s="349" t="s">
        <v>140</v>
      </c>
      <c r="D61" s="11" t="s">
        <v>30</v>
      </c>
      <c r="E61" s="11" t="s">
        <v>30</v>
      </c>
      <c r="F61" s="11" t="s">
        <v>354</v>
      </c>
      <c r="G61" s="11" t="s">
        <v>30</v>
      </c>
      <c r="H61" s="11" t="s">
        <v>140</v>
      </c>
    </row>
    <row r="62" spans="2:8" x14ac:dyDescent="0.2">
      <c r="B62" s="362" t="str">
        <f t="shared" si="1"/>
        <v>Referenzjahr</v>
      </c>
      <c r="C62" s="349"/>
      <c r="D62" s="11" t="s">
        <v>73</v>
      </c>
      <c r="E62" s="11" t="s">
        <v>190</v>
      </c>
      <c r="F62" s="11" t="s">
        <v>355</v>
      </c>
      <c r="G62" s="11" t="s">
        <v>227</v>
      </c>
      <c r="H62" s="11" t="s">
        <v>140</v>
      </c>
    </row>
    <row r="63" spans="2:8" x14ac:dyDescent="0.2">
      <c r="B63" s="362" t="str">
        <f t="shared" si="1"/>
        <v>Berechnungsdatum</v>
      </c>
      <c r="C63" s="349"/>
      <c r="D63" s="11" t="s">
        <v>74</v>
      </c>
      <c r="E63" s="11" t="s">
        <v>291</v>
      </c>
      <c r="F63" s="11" t="s">
        <v>576</v>
      </c>
      <c r="G63" s="11" t="s">
        <v>273</v>
      </c>
      <c r="H63" s="11" t="s">
        <v>140</v>
      </c>
    </row>
    <row r="64" spans="2:8" x14ac:dyDescent="0.2">
      <c r="B64" s="363" t="str">
        <f t="shared" si="1"/>
        <v>Berechnungs-ID</v>
      </c>
      <c r="C64" s="349"/>
      <c r="D64" s="11" t="s">
        <v>75</v>
      </c>
      <c r="E64" s="11" t="s">
        <v>292</v>
      </c>
      <c r="F64" s="11" t="s">
        <v>577</v>
      </c>
      <c r="G64" s="11" t="s">
        <v>274</v>
      </c>
      <c r="H64" s="11" t="s">
        <v>140</v>
      </c>
    </row>
    <row r="65" spans="2:8" x14ac:dyDescent="0.2">
      <c r="B65" s="364" t="str">
        <f t="shared" si="1"/>
        <v>Zahlungen im</v>
      </c>
      <c r="C65" s="349" t="s">
        <v>140</v>
      </c>
      <c r="D65" s="355" t="s">
        <v>78</v>
      </c>
      <c r="E65" s="355" t="s">
        <v>293</v>
      </c>
      <c r="F65" s="355" t="s">
        <v>356</v>
      </c>
      <c r="G65" s="355" t="s">
        <v>275</v>
      </c>
      <c r="H65" s="11" t="s">
        <v>140</v>
      </c>
    </row>
    <row r="66" spans="2:8" x14ac:dyDescent="0.2">
      <c r="B66" s="364" t="str">
        <f t="shared" si="1"/>
        <v>Lastenausgleich 2019</v>
      </c>
      <c r="C66" s="349" t="s">
        <v>140</v>
      </c>
      <c r="D66" s="355" t="str">
        <f>"Lastenausgleich " &amp; $G$2</f>
        <v>Lastenausgleich 2019</v>
      </c>
      <c r="E66" s="355" t="str">
        <f>"compensation des charges " &amp; $G$2</f>
        <v>compensation des charges 2019</v>
      </c>
      <c r="F66" s="355" t="str">
        <f>"Compensazione degli oneri " &amp; $G$2</f>
        <v>Compensazione degli oneri 2019</v>
      </c>
      <c r="G66" s="355" t="str">
        <f>"cost compensation " &amp; $G$2</f>
        <v>cost compensation 2019</v>
      </c>
      <c r="H66" s="11" t="s">
        <v>140</v>
      </c>
    </row>
    <row r="67" spans="2:8" x14ac:dyDescent="0.2">
      <c r="B67" s="362" t="str">
        <f t="shared" si="1"/>
        <v>Auszahlungen in CHF</v>
      </c>
      <c r="C67" s="349" t="s">
        <v>140</v>
      </c>
      <c r="D67" s="11" t="s">
        <v>76</v>
      </c>
      <c r="E67" s="11" t="s">
        <v>414</v>
      </c>
      <c r="F67" s="11" t="s">
        <v>357</v>
      </c>
      <c r="G67" s="11" t="s">
        <v>276</v>
      </c>
      <c r="H67" s="11" t="s">
        <v>140</v>
      </c>
    </row>
    <row r="68" spans="2:8" x14ac:dyDescent="0.2">
      <c r="B68" s="362" t="str">
        <f t="shared" si="1"/>
        <v>Geografisch-
topografischer
Lastenausgleich
(GLA)</v>
      </c>
      <c r="C68" s="349" t="s">
        <v>140</v>
      </c>
      <c r="D68" s="11" t="s">
        <v>416</v>
      </c>
      <c r="E68" s="11" t="s">
        <v>449</v>
      </c>
      <c r="F68" s="11" t="s">
        <v>484</v>
      </c>
      <c r="G68" s="11" t="s">
        <v>518</v>
      </c>
      <c r="H68" s="11" t="s">
        <v>140</v>
      </c>
    </row>
    <row r="69" spans="2:8" x14ac:dyDescent="0.2">
      <c r="B69" s="362" t="str">
        <f t="shared" si="1"/>
        <v>Sozio-
demografischer
Lastenausgleich
(SLA A-C)</v>
      </c>
      <c r="C69" s="349" t="s">
        <v>140</v>
      </c>
      <c r="D69" s="11" t="s">
        <v>417</v>
      </c>
      <c r="E69" s="11" t="s">
        <v>450</v>
      </c>
      <c r="F69" s="11" t="s">
        <v>485</v>
      </c>
      <c r="G69" s="11" t="s">
        <v>519</v>
      </c>
      <c r="H69" s="11" t="s">
        <v>140</v>
      </c>
    </row>
    <row r="70" spans="2:8" x14ac:dyDescent="0.2">
      <c r="B70" s="362" t="str">
        <f t="shared" si="1"/>
        <v>Sozio-
demografischer
Lastenausgleich
(SLA F)</v>
      </c>
      <c r="C70" s="349" t="s">
        <v>140</v>
      </c>
      <c r="D70" s="11" t="s">
        <v>418</v>
      </c>
      <c r="E70" s="11" t="s">
        <v>451</v>
      </c>
      <c r="F70" s="11" t="s">
        <v>486</v>
      </c>
      <c r="G70" s="11" t="s">
        <v>520</v>
      </c>
      <c r="H70" s="11" t="s">
        <v>140</v>
      </c>
    </row>
    <row r="71" spans="2:8" x14ac:dyDescent="0.2">
      <c r="B71" s="363" t="str">
        <f t="shared" si="1"/>
        <v>Die Berechnung des Lastenausgleichs wird im Technischen Bericht detailliert beschrieben:
www.efv.admin.ch → Themen  → Finanzausgleich  → Dokumentation</v>
      </c>
      <c r="C71" s="349" t="s">
        <v>140</v>
      </c>
      <c r="D71" s="11" t="s">
        <v>116</v>
      </c>
      <c r="E71" s="11" t="s">
        <v>445</v>
      </c>
      <c r="F71" s="11" t="s">
        <v>487</v>
      </c>
      <c r="G71" s="11" t="s">
        <v>488</v>
      </c>
      <c r="H71" s="11" t="s">
        <v>140</v>
      </c>
    </row>
    <row r="72" spans="2:8" x14ac:dyDescent="0.2">
      <c r="B72" s="364" t="str">
        <f t="shared" si="1"/>
        <v>Fortschreibung der Dotationen im Lastenausgleich 2019</v>
      </c>
      <c r="C72" s="349" t="s">
        <v>140</v>
      </c>
      <c r="D72" s="355" t="str">
        <f>"Fortschreibung der Dotationen im Lastenausgleich " &amp; $G$2</f>
        <v>Fortschreibung der Dotationen im Lastenausgleich 2019</v>
      </c>
      <c r="E72" s="355" t="str">
        <f>"Actualisation des dotations de la compensation des charges " &amp; $G$2</f>
        <v>Actualisation des dotations de la compensation des charges 2019</v>
      </c>
      <c r="F72" s="355" t="str">
        <f>"Aggiornamento delle dotazioni nella compensazione degli oneri " &amp; $G$2</f>
        <v>Aggiornamento delle dotazioni nella compensazione degli oneri 2019</v>
      </c>
      <c r="G72" s="355" t="str">
        <f>"Extrapolation of cost compensation endowments "  &amp; $G$2</f>
        <v>Extrapolation of cost compensation endowments 2019</v>
      </c>
      <c r="H72" s="11" t="s">
        <v>140</v>
      </c>
    </row>
    <row r="73" spans="2:8" x14ac:dyDescent="0.2">
      <c r="B73" s="362" t="str">
        <f t="shared" si="1"/>
        <v>in CHF</v>
      </c>
      <c r="C73" s="349" t="s">
        <v>140</v>
      </c>
      <c r="D73" s="11" t="s">
        <v>34</v>
      </c>
      <c r="E73" s="11" t="s">
        <v>413</v>
      </c>
      <c r="F73" s="11" t="s">
        <v>34</v>
      </c>
      <c r="G73" s="11" t="s">
        <v>34</v>
      </c>
      <c r="H73" s="11" t="s">
        <v>140</v>
      </c>
    </row>
    <row r="74" spans="2:8" x14ac:dyDescent="0.2">
      <c r="B74" s="362" t="str">
        <f t="shared" ref="B74:B105" si="2">HLOOKUP($B$9,$D$9:$G$177,ROW()-$B$8,FALSE)</f>
        <v>Geografisch-topografischer Lastenausgleich (GLA)</v>
      </c>
      <c r="C74" s="349" t="s">
        <v>140</v>
      </c>
      <c r="D74" s="11" t="s">
        <v>44</v>
      </c>
      <c r="E74" s="11" t="s">
        <v>446</v>
      </c>
      <c r="F74" s="11" t="s">
        <v>358</v>
      </c>
      <c r="G74" s="11" t="s">
        <v>277</v>
      </c>
      <c r="H74" s="11" t="s">
        <v>140</v>
      </c>
    </row>
    <row r="75" spans="2:8" x14ac:dyDescent="0.2">
      <c r="B75" s="362" t="str">
        <f t="shared" si="2"/>
        <v>Soziodemografischer
Lastenausgleich (SLA)</v>
      </c>
      <c r="C75" s="349" t="s">
        <v>140</v>
      </c>
      <c r="D75" s="11" t="s">
        <v>419</v>
      </c>
      <c r="E75" s="11" t="s">
        <v>447</v>
      </c>
      <c r="F75" s="11" t="s">
        <v>489</v>
      </c>
      <c r="G75" s="11" t="s">
        <v>521</v>
      </c>
      <c r="H75" s="11" t="s">
        <v>140</v>
      </c>
    </row>
    <row r="76" spans="2:8" x14ac:dyDescent="0.2">
      <c r="B76" s="362" t="str">
        <f t="shared" si="2"/>
        <v>Lastenausgleich
Total</v>
      </c>
      <c r="C76" s="349" t="s">
        <v>140</v>
      </c>
      <c r="D76" s="11" t="s">
        <v>77</v>
      </c>
      <c r="E76" s="11" t="s">
        <v>448</v>
      </c>
      <c r="F76" s="11" t="s">
        <v>490</v>
      </c>
      <c r="G76" s="11" t="s">
        <v>522</v>
      </c>
      <c r="H76" s="11" t="s">
        <v>140</v>
      </c>
    </row>
    <row r="77" spans="2:8" x14ac:dyDescent="0.2">
      <c r="B77" s="362" t="str">
        <f t="shared" si="2"/>
        <v>Dotation 2018</v>
      </c>
      <c r="C77" s="349" t="s">
        <v>140</v>
      </c>
      <c r="D77" s="11" t="str">
        <f>"Dotation " &amp; $G$2-1</f>
        <v>Dotation 2018</v>
      </c>
      <c r="E77" s="11" t="str">
        <f>"Dotation " &amp; $G$2-1</f>
        <v>Dotation 2018</v>
      </c>
      <c r="F77" s="11" t="str">
        <f>"Dotazione " &amp; $G$2-1</f>
        <v>Dotazione 2018</v>
      </c>
      <c r="G77" s="11" t="str">
        <f>"Endowment " &amp; $G$2-1</f>
        <v>Endowment 2018</v>
      </c>
      <c r="H77" s="11" t="s">
        <v>140</v>
      </c>
    </row>
    <row r="78" spans="2:8" x14ac:dyDescent="0.2">
      <c r="B78" s="362" t="str">
        <f t="shared" si="2"/>
        <v>+ Wachstum (LIK)</v>
      </c>
      <c r="C78" s="349" t="s">
        <v>140</v>
      </c>
      <c r="D78" s="11" t="s">
        <v>43</v>
      </c>
      <c r="E78" s="365" t="s">
        <v>191</v>
      </c>
      <c r="F78" s="11" t="s">
        <v>359</v>
      </c>
      <c r="G78" s="365" t="s">
        <v>228</v>
      </c>
      <c r="H78" s="11" t="s">
        <v>140</v>
      </c>
    </row>
    <row r="79" spans="2:8" x14ac:dyDescent="0.2">
      <c r="B79" s="362" t="str">
        <f t="shared" si="2"/>
        <v>Ordentliche Fortschreibung</v>
      </c>
      <c r="C79" s="349" t="s">
        <v>140</v>
      </c>
      <c r="D79" s="11" t="s">
        <v>45</v>
      </c>
      <c r="E79" s="11" t="s">
        <v>294</v>
      </c>
      <c r="F79" s="11" t="s">
        <v>360</v>
      </c>
      <c r="G79" s="11" t="s">
        <v>229</v>
      </c>
      <c r="H79" s="11" t="s">
        <v>140</v>
      </c>
    </row>
    <row r="80" spans="2:8" x14ac:dyDescent="0.2">
      <c r="B80" s="362" t="str">
        <f t="shared" si="2"/>
        <v>+ Anpassung Dotation</v>
      </c>
      <c r="C80" s="349" t="s">
        <v>140</v>
      </c>
      <c r="D80" s="11" t="s">
        <v>42</v>
      </c>
      <c r="E80" s="365" t="s">
        <v>192</v>
      </c>
      <c r="F80" s="11" t="s">
        <v>361</v>
      </c>
      <c r="G80" s="365" t="s">
        <v>230</v>
      </c>
      <c r="H80" s="11" t="s">
        <v>140</v>
      </c>
    </row>
    <row r="81" spans="2:8" x14ac:dyDescent="0.2">
      <c r="B81" s="362" t="str">
        <f t="shared" si="2"/>
        <v>Dotation 2019</v>
      </c>
      <c r="C81" s="349" t="s">
        <v>140</v>
      </c>
      <c r="D81" s="11" t="str">
        <f>"Dotation " &amp; $G$2</f>
        <v>Dotation 2019</v>
      </c>
      <c r="E81" s="11" t="str">
        <f>"Dotation " &amp; $G$2</f>
        <v>Dotation 2019</v>
      </c>
      <c r="F81" s="11" t="str">
        <f>"Dotazione " &amp; $G$2</f>
        <v>Dotazione 2019</v>
      </c>
      <c r="G81" s="11" t="str">
        <f>"Endowment " &amp; $G$2</f>
        <v>Endowment 2019</v>
      </c>
      <c r="H81" s="11" t="s">
        <v>140</v>
      </c>
    </row>
    <row r="82" spans="2:8" x14ac:dyDescent="0.2">
      <c r="B82" s="362" t="str">
        <f t="shared" si="2"/>
        <v>GLA 1</v>
      </c>
      <c r="C82" s="349"/>
      <c r="D82" s="11" t="s">
        <v>35</v>
      </c>
      <c r="E82" s="11" t="s">
        <v>193</v>
      </c>
      <c r="F82" s="11" t="s">
        <v>362</v>
      </c>
      <c r="G82" s="11" t="s">
        <v>231</v>
      </c>
      <c r="H82" s="11" t="s">
        <v>140</v>
      </c>
    </row>
    <row r="83" spans="2:8" x14ac:dyDescent="0.2">
      <c r="B83" s="362" t="str">
        <f t="shared" si="2"/>
        <v>GLA 2</v>
      </c>
      <c r="C83" s="349"/>
      <c r="D83" s="11" t="s">
        <v>36</v>
      </c>
      <c r="E83" s="11" t="s">
        <v>194</v>
      </c>
      <c r="F83" s="11" t="s">
        <v>363</v>
      </c>
      <c r="G83" s="11" t="s">
        <v>232</v>
      </c>
      <c r="H83" s="11" t="s">
        <v>140</v>
      </c>
    </row>
    <row r="84" spans="2:8" x14ac:dyDescent="0.2">
      <c r="B84" s="362" t="str">
        <f t="shared" si="2"/>
        <v>GLA 3</v>
      </c>
      <c r="C84" s="349"/>
      <c r="D84" s="11" t="s">
        <v>37</v>
      </c>
      <c r="E84" s="11" t="s">
        <v>195</v>
      </c>
      <c r="F84" s="11" t="s">
        <v>364</v>
      </c>
      <c r="G84" s="11" t="s">
        <v>233</v>
      </c>
      <c r="H84" s="11" t="s">
        <v>140</v>
      </c>
    </row>
    <row r="85" spans="2:8" x14ac:dyDescent="0.2">
      <c r="B85" s="362" t="str">
        <f t="shared" si="2"/>
        <v>GLA 4</v>
      </c>
      <c r="C85" s="349"/>
      <c r="D85" s="11" t="s">
        <v>38</v>
      </c>
      <c r="E85" s="11" t="s">
        <v>196</v>
      </c>
      <c r="F85" s="11" t="s">
        <v>365</v>
      </c>
      <c r="G85" s="11" t="s">
        <v>234</v>
      </c>
      <c r="H85" s="11" t="s">
        <v>140</v>
      </c>
    </row>
    <row r="86" spans="2:8" x14ac:dyDescent="0.2">
      <c r="B86" s="362" t="str">
        <f t="shared" si="2"/>
        <v>SLA A-C</v>
      </c>
      <c r="C86" s="349"/>
      <c r="D86" s="11" t="s">
        <v>564</v>
      </c>
      <c r="E86" s="11" t="s">
        <v>565</v>
      </c>
      <c r="F86" s="11" t="s">
        <v>366</v>
      </c>
      <c r="G86" s="11" t="s">
        <v>237</v>
      </c>
      <c r="H86" s="11" t="s">
        <v>140</v>
      </c>
    </row>
    <row r="87" spans="2:8" x14ac:dyDescent="0.2">
      <c r="B87" s="362" t="str">
        <f t="shared" si="2"/>
        <v>SLA F</v>
      </c>
      <c r="C87" s="349"/>
      <c r="D87" s="11" t="s">
        <v>40</v>
      </c>
      <c r="E87" s="11" t="s">
        <v>197</v>
      </c>
      <c r="F87" s="11" t="s">
        <v>367</v>
      </c>
      <c r="G87" s="11" t="s">
        <v>236</v>
      </c>
      <c r="H87" s="11" t="s">
        <v>140</v>
      </c>
    </row>
    <row r="88" spans="2:8" x14ac:dyDescent="0.2">
      <c r="B88" s="362" t="str">
        <f t="shared" si="2"/>
        <v>Teilausgleiche</v>
      </c>
      <c r="C88" s="349"/>
      <c r="D88" s="11" t="s">
        <v>41</v>
      </c>
      <c r="E88" s="11" t="s">
        <v>295</v>
      </c>
      <c r="F88" s="11" t="s">
        <v>368</v>
      </c>
      <c r="G88" s="11" t="s">
        <v>278</v>
      </c>
      <c r="H88" s="11" t="s">
        <v>140</v>
      </c>
    </row>
    <row r="89" spans="2:8" x14ac:dyDescent="0.2">
      <c r="B89" s="363" t="str">
        <f t="shared" si="2"/>
        <v>Anteil</v>
      </c>
      <c r="C89" s="349" t="s">
        <v>140</v>
      </c>
      <c r="D89" s="11" t="s">
        <v>39</v>
      </c>
      <c r="E89" s="11" t="s">
        <v>296</v>
      </c>
      <c r="F89" s="11" t="s">
        <v>369</v>
      </c>
      <c r="G89" s="11" t="s">
        <v>279</v>
      </c>
      <c r="H89" s="11" t="s">
        <v>140</v>
      </c>
    </row>
    <row r="90" spans="2:8" x14ac:dyDescent="0.2">
      <c r="B90" s="364" t="str">
        <f t="shared" si="2"/>
        <v>GLA 1 (Siedlungshöhe)</v>
      </c>
      <c r="C90" s="349" t="s">
        <v>140</v>
      </c>
      <c r="D90" s="355" t="s">
        <v>0</v>
      </c>
      <c r="E90" s="355" t="s">
        <v>297</v>
      </c>
      <c r="F90" s="355" t="s">
        <v>370</v>
      </c>
      <c r="G90" s="355" t="s">
        <v>238</v>
      </c>
      <c r="H90" s="11" t="s">
        <v>140</v>
      </c>
    </row>
    <row r="91" spans="2:8" x14ac:dyDescent="0.2">
      <c r="B91" s="362" t="str">
        <f t="shared" si="2"/>
        <v>Indikator = Anteil der Wohnbevölkerung mit einer Wohnhöhe von über 800 m</v>
      </c>
      <c r="C91" s="349" t="s">
        <v>140</v>
      </c>
      <c r="D91" s="11" t="s">
        <v>98</v>
      </c>
      <c r="E91" s="11" t="s">
        <v>298</v>
      </c>
      <c r="F91" s="11" t="s">
        <v>371</v>
      </c>
      <c r="G91" s="11" t="s">
        <v>280</v>
      </c>
      <c r="H91" s="11" t="s">
        <v>140</v>
      </c>
    </row>
    <row r="92" spans="2:8" x14ac:dyDescent="0.2">
      <c r="B92" s="364" t="str">
        <f t="shared" si="2"/>
        <v>GLA 2 (Steilheit des Geländes)</v>
      </c>
      <c r="C92" s="349" t="s">
        <v>140</v>
      </c>
      <c r="D92" s="355" t="s">
        <v>31</v>
      </c>
      <c r="E92" s="355" t="s">
        <v>198</v>
      </c>
      <c r="F92" s="355" t="s">
        <v>372</v>
      </c>
      <c r="G92" s="355" t="s">
        <v>239</v>
      </c>
      <c r="H92" s="11" t="s">
        <v>140</v>
      </c>
    </row>
    <row r="93" spans="2:8" x14ac:dyDescent="0.2">
      <c r="B93" s="362" t="str">
        <f t="shared" si="2"/>
        <v>Indikator = Mittlere Höhe der produktiven Fläche</v>
      </c>
      <c r="C93" s="349" t="s">
        <v>140</v>
      </c>
      <c r="D93" s="11" t="s">
        <v>103</v>
      </c>
      <c r="E93" s="11" t="s">
        <v>299</v>
      </c>
      <c r="F93" s="11" t="s">
        <v>373</v>
      </c>
      <c r="G93" s="11" t="s">
        <v>281</v>
      </c>
      <c r="H93" s="11" t="s">
        <v>140</v>
      </c>
    </row>
    <row r="94" spans="2:8" x14ac:dyDescent="0.2">
      <c r="B94" s="364" t="str">
        <f t="shared" si="2"/>
        <v>GLA 3 (Siedlungsstruktur)</v>
      </c>
      <c r="C94" s="349" t="s">
        <v>140</v>
      </c>
      <c r="D94" s="355" t="s">
        <v>32</v>
      </c>
      <c r="E94" s="355" t="s">
        <v>199</v>
      </c>
      <c r="F94" s="355" t="s">
        <v>374</v>
      </c>
      <c r="G94" s="355" t="s">
        <v>240</v>
      </c>
      <c r="H94" s="11" t="s">
        <v>140</v>
      </c>
    </row>
    <row r="95" spans="2:8" x14ac:dyDescent="0.2">
      <c r="B95" s="362" t="str">
        <f t="shared" si="2"/>
        <v>Indikator = Anteil der Wohnbevölkerung in Siedlungen mit weniger als 200 Einwohnern</v>
      </c>
      <c r="C95" s="349" t="s">
        <v>140</v>
      </c>
      <c r="D95" s="11" t="s">
        <v>102</v>
      </c>
      <c r="E95" s="11" t="s">
        <v>562</v>
      </c>
      <c r="F95" s="11" t="s">
        <v>375</v>
      </c>
      <c r="G95" s="11" t="s">
        <v>282</v>
      </c>
      <c r="H95" s="11" t="s">
        <v>140</v>
      </c>
    </row>
    <row r="96" spans="2:8" x14ac:dyDescent="0.2">
      <c r="B96" s="364" t="str">
        <f t="shared" si="2"/>
        <v>GLA 4 (Geringe Bevölkerungsdichte)</v>
      </c>
      <c r="C96" s="349" t="s">
        <v>140</v>
      </c>
      <c r="D96" s="355" t="s">
        <v>33</v>
      </c>
      <c r="E96" s="355" t="s">
        <v>300</v>
      </c>
      <c r="F96" s="355" t="s">
        <v>376</v>
      </c>
      <c r="G96" s="355" t="s">
        <v>241</v>
      </c>
      <c r="H96" s="11" t="s">
        <v>140</v>
      </c>
    </row>
    <row r="97" spans="2:8" x14ac:dyDescent="0.2">
      <c r="B97" s="362" t="str">
        <f t="shared" si="2"/>
        <v>Indikator = Hektaren pro Einwohner</v>
      </c>
      <c r="C97" s="349" t="s">
        <v>140</v>
      </c>
      <c r="D97" s="11" t="s">
        <v>104</v>
      </c>
      <c r="E97" s="11" t="s">
        <v>301</v>
      </c>
      <c r="F97" s="11" t="s">
        <v>377</v>
      </c>
      <c r="G97" s="11" t="s">
        <v>242</v>
      </c>
      <c r="H97" s="11" t="s">
        <v>140</v>
      </c>
    </row>
    <row r="98" spans="2:8" x14ac:dyDescent="0.2">
      <c r="B98" s="362" t="str">
        <f t="shared" si="2"/>
        <v>Ständige Wohnbev.
mit einer Wohnhöhe
von über 800 m.ü.M.</v>
      </c>
      <c r="C98" s="349" t="s">
        <v>140</v>
      </c>
      <c r="D98" s="11" t="s">
        <v>420</v>
      </c>
      <c r="E98" s="11" t="s">
        <v>452</v>
      </c>
      <c r="F98" s="11" t="s">
        <v>378</v>
      </c>
      <c r="G98" s="11" t="s">
        <v>523</v>
      </c>
      <c r="H98" s="11" t="s">
        <v>140</v>
      </c>
    </row>
    <row r="99" spans="2:8" x14ac:dyDescent="0.2">
      <c r="B99" s="362" t="str">
        <f t="shared" si="2"/>
        <v>Ständige Wohn-
bevölkerung</v>
      </c>
      <c r="C99" s="349" t="s">
        <v>140</v>
      </c>
      <c r="D99" s="11" t="s">
        <v>421</v>
      </c>
      <c r="E99" s="11" t="s">
        <v>453</v>
      </c>
      <c r="F99" s="11" t="s">
        <v>379</v>
      </c>
      <c r="G99" s="11" t="s">
        <v>524</v>
      </c>
      <c r="H99" s="11" t="s">
        <v>140</v>
      </c>
    </row>
    <row r="100" spans="2:8" x14ac:dyDescent="0.2">
      <c r="B100" s="362" t="str">
        <f t="shared" si="2"/>
        <v>Indikator</v>
      </c>
      <c r="C100" s="349" t="s">
        <v>140</v>
      </c>
      <c r="D100" s="11" t="s">
        <v>1</v>
      </c>
      <c r="E100" s="11" t="s">
        <v>200</v>
      </c>
      <c r="F100" s="11" t="s">
        <v>347</v>
      </c>
      <c r="G100" s="11" t="s">
        <v>226</v>
      </c>
      <c r="H100" s="11" t="s">
        <v>140</v>
      </c>
    </row>
    <row r="101" spans="2:8" x14ac:dyDescent="0.2">
      <c r="B101" s="362" t="str">
        <f t="shared" si="2"/>
        <v>Lastenindex</v>
      </c>
      <c r="C101" s="349" t="s">
        <v>140</v>
      </c>
      <c r="D101" s="11" t="s">
        <v>2</v>
      </c>
      <c r="E101" s="11" t="s">
        <v>454</v>
      </c>
      <c r="F101" s="11" t="s">
        <v>380</v>
      </c>
      <c r="G101" s="11" t="s">
        <v>525</v>
      </c>
      <c r="H101" s="11" t="s">
        <v>140</v>
      </c>
    </row>
    <row r="102" spans="2:8" x14ac:dyDescent="0.2">
      <c r="B102" s="362" t="str">
        <f t="shared" si="2"/>
        <v>Massgebende
Sonderlasten</v>
      </c>
      <c r="C102" s="349" t="s">
        <v>140</v>
      </c>
      <c r="D102" s="11" t="s">
        <v>422</v>
      </c>
      <c r="E102" s="11" t="s">
        <v>455</v>
      </c>
      <c r="F102" s="11" t="s">
        <v>381</v>
      </c>
      <c r="G102" s="11" t="s">
        <v>526</v>
      </c>
      <c r="H102" s="11" t="s">
        <v>140</v>
      </c>
    </row>
    <row r="103" spans="2:8" x14ac:dyDescent="0.2">
      <c r="B103" s="362" t="str">
        <f t="shared" si="2"/>
        <v>Auszahlung
GLA 1</v>
      </c>
      <c r="C103" s="349" t="s">
        <v>140</v>
      </c>
      <c r="D103" s="11" t="s">
        <v>527</v>
      </c>
      <c r="E103" s="11" t="s">
        <v>456</v>
      </c>
      <c r="F103" s="11" t="s">
        <v>531</v>
      </c>
      <c r="G103" s="11" t="s">
        <v>535</v>
      </c>
      <c r="H103" s="11" t="s">
        <v>140</v>
      </c>
    </row>
    <row r="104" spans="2:8" x14ac:dyDescent="0.2">
      <c r="B104" s="362" t="str">
        <f t="shared" si="2"/>
        <v>Produktive
Fläche</v>
      </c>
      <c r="C104" s="349" t="s">
        <v>140</v>
      </c>
      <c r="D104" s="11" t="s">
        <v>115</v>
      </c>
      <c r="E104" s="11" t="s">
        <v>457</v>
      </c>
      <c r="F104" s="11" t="s">
        <v>382</v>
      </c>
      <c r="G104" s="11" t="s">
        <v>539</v>
      </c>
      <c r="H104" s="11" t="s">
        <v>140</v>
      </c>
    </row>
    <row r="105" spans="2:8" ht="11.25" customHeight="1" x14ac:dyDescent="0.2">
      <c r="B105" s="362" t="str">
        <f t="shared" si="2"/>
        <v>Höhenmedian
produktive Fläche</v>
      </c>
      <c r="C105" s="349" t="s">
        <v>140</v>
      </c>
      <c r="D105" s="11" t="s">
        <v>566</v>
      </c>
      <c r="E105" s="11" t="s">
        <v>458</v>
      </c>
      <c r="F105" s="11" t="s">
        <v>383</v>
      </c>
      <c r="G105" s="11" t="s">
        <v>540</v>
      </c>
      <c r="H105" s="11" t="s">
        <v>140</v>
      </c>
    </row>
    <row r="106" spans="2:8" x14ac:dyDescent="0.2">
      <c r="B106" s="362" t="str">
        <f t="shared" ref="B106:B137" si="3">HLOOKUP($B$9,$D$9:$G$177,ROW()-$B$8,FALSE)</f>
        <v>Auszahlung
GLA 2</v>
      </c>
      <c r="C106" s="349" t="s">
        <v>140</v>
      </c>
      <c r="D106" s="11" t="s">
        <v>528</v>
      </c>
      <c r="E106" s="11" t="s">
        <v>459</v>
      </c>
      <c r="F106" s="11" t="s">
        <v>532</v>
      </c>
      <c r="G106" s="11" t="s">
        <v>536</v>
      </c>
      <c r="H106" s="11" t="s">
        <v>140</v>
      </c>
    </row>
    <row r="107" spans="2:8" ht="11.25" customHeight="1" x14ac:dyDescent="0.2">
      <c r="B107" s="362" t="str">
        <f t="shared" si="3"/>
        <v>Ständige Wohnbev.
in Siedlungen mit
weniger als 200 Einw.</v>
      </c>
      <c r="C107" s="349" t="s">
        <v>140</v>
      </c>
      <c r="D107" s="126" t="s">
        <v>2836</v>
      </c>
      <c r="E107" s="11" t="s">
        <v>563</v>
      </c>
      <c r="F107" s="11" t="s">
        <v>384</v>
      </c>
      <c r="G107" s="11" t="s">
        <v>541</v>
      </c>
      <c r="H107" s="11" t="s">
        <v>140</v>
      </c>
    </row>
    <row r="108" spans="2:8" x14ac:dyDescent="0.2">
      <c r="B108" s="362" t="str">
        <f t="shared" si="3"/>
        <v>Auszahlung
GLA 3</v>
      </c>
      <c r="C108" s="349"/>
      <c r="D108" s="11" t="s">
        <v>529</v>
      </c>
      <c r="E108" s="11" t="s">
        <v>460</v>
      </c>
      <c r="F108" s="11" t="s">
        <v>533</v>
      </c>
      <c r="G108" s="11" t="s">
        <v>537</v>
      </c>
      <c r="H108" s="11" t="s">
        <v>140</v>
      </c>
    </row>
    <row r="109" spans="2:8" x14ac:dyDescent="0.2">
      <c r="B109" s="362" t="str">
        <f t="shared" si="3"/>
        <v>Fläche</v>
      </c>
      <c r="C109" s="349"/>
      <c r="D109" s="11" t="s">
        <v>70</v>
      </c>
      <c r="E109" s="11" t="s">
        <v>201</v>
      </c>
      <c r="F109" s="11" t="s">
        <v>385</v>
      </c>
      <c r="G109" s="11" t="s">
        <v>243</v>
      </c>
      <c r="H109" s="11" t="s">
        <v>140</v>
      </c>
    </row>
    <row r="110" spans="2:8" x14ac:dyDescent="0.2">
      <c r="B110" s="362" t="str">
        <f t="shared" si="3"/>
        <v>Auszahlung
GLA 4</v>
      </c>
      <c r="C110" s="349"/>
      <c r="D110" s="11" t="s">
        <v>530</v>
      </c>
      <c r="E110" s="11" t="s">
        <v>461</v>
      </c>
      <c r="F110" s="11" t="s">
        <v>534</v>
      </c>
      <c r="G110" s="11" t="s">
        <v>538</v>
      </c>
      <c r="H110" s="11" t="s">
        <v>140</v>
      </c>
    </row>
    <row r="111" spans="2:8" x14ac:dyDescent="0.2">
      <c r="B111" s="362" t="str">
        <f t="shared" si="3"/>
        <v>E / E[Schweiz]</v>
      </c>
      <c r="C111" s="349"/>
      <c r="D111" s="11" t="s">
        <v>95</v>
      </c>
      <c r="E111" s="11" t="s">
        <v>202</v>
      </c>
      <c r="F111" s="11" t="s">
        <v>386</v>
      </c>
      <c r="G111" s="11" t="s">
        <v>244</v>
      </c>
      <c r="H111" s="11" t="s">
        <v>140</v>
      </c>
    </row>
    <row r="112" spans="2:8" x14ac:dyDescent="0.2">
      <c r="B112" s="362" t="str">
        <f t="shared" si="3"/>
        <v>G / G[Schweiz] * Dotation</v>
      </c>
      <c r="C112" s="349"/>
      <c r="D112" s="11" t="s">
        <v>97</v>
      </c>
      <c r="E112" s="11" t="s">
        <v>205</v>
      </c>
      <c r="F112" s="11" t="s">
        <v>387</v>
      </c>
      <c r="G112" s="11" t="s">
        <v>542</v>
      </c>
      <c r="H112" s="11" t="s">
        <v>140</v>
      </c>
    </row>
    <row r="113" spans="2:8" x14ac:dyDescent="0.2">
      <c r="B113" s="362" t="str">
        <f t="shared" si="3"/>
        <v>M / M[Schweiz]</v>
      </c>
      <c r="C113" s="349"/>
      <c r="D113" s="11" t="s">
        <v>100</v>
      </c>
      <c r="E113" s="11" t="s">
        <v>203</v>
      </c>
      <c r="F113" s="11" t="s">
        <v>388</v>
      </c>
      <c r="G113" s="11" t="s">
        <v>245</v>
      </c>
      <c r="H113" s="11" t="s">
        <v>140</v>
      </c>
    </row>
    <row r="114" spans="2:8" x14ac:dyDescent="0.2">
      <c r="B114" s="363" t="str">
        <f t="shared" si="3"/>
        <v>O / O[Schweiz] * Dotation</v>
      </c>
      <c r="C114" s="349" t="s">
        <v>140</v>
      </c>
      <c r="D114" s="11" t="s">
        <v>178</v>
      </c>
      <c r="E114" s="11" t="s">
        <v>204</v>
      </c>
      <c r="F114" s="11" t="s">
        <v>389</v>
      </c>
      <c r="G114" s="11" t="s">
        <v>543</v>
      </c>
      <c r="H114" s="11" t="s">
        <v>140</v>
      </c>
    </row>
    <row r="115" spans="2:8" x14ac:dyDescent="0.2">
      <c r="B115" s="364" t="str">
        <f t="shared" si="3"/>
        <v>Auszahlungen GLA 2019</v>
      </c>
      <c r="C115" s="349" t="s">
        <v>140</v>
      </c>
      <c r="D115" s="355" t="str">
        <f>"Auszahlungen GLA " &amp; $G$2</f>
        <v>Auszahlungen GLA 2019</v>
      </c>
      <c r="E115" s="355" t="str">
        <f>"Montants reçus au titre des CCG " &amp; $G$2</f>
        <v>Montants reçus au titre des CCG 2019</v>
      </c>
      <c r="F115" s="355" t="str">
        <f>"Versamenti PAG " &amp; $G$2</f>
        <v>Versamenti PAG 2019</v>
      </c>
      <c r="G115" s="355" t="str">
        <f>"Outpayments GCC " &amp; $G$2</f>
        <v>Outpayments GCC 2019</v>
      </c>
      <c r="H115" s="11" t="s">
        <v>140</v>
      </c>
    </row>
    <row r="116" spans="2:8" x14ac:dyDescent="0.2">
      <c r="B116" s="362" t="str">
        <f t="shared" si="3"/>
        <v>in CHF</v>
      </c>
      <c r="C116" s="349" t="s">
        <v>140</v>
      </c>
      <c r="D116" s="11" t="s">
        <v>34</v>
      </c>
      <c r="E116" s="11" t="s">
        <v>413</v>
      </c>
      <c r="F116" s="11" t="s">
        <v>34</v>
      </c>
      <c r="G116" s="11" t="s">
        <v>34</v>
      </c>
      <c r="H116" s="11" t="s">
        <v>140</v>
      </c>
    </row>
    <row r="117" spans="2:8" x14ac:dyDescent="0.2">
      <c r="B117" s="362" t="str">
        <f t="shared" si="3"/>
        <v>GLA 1</v>
      </c>
      <c r="C117" s="349" t="s">
        <v>140</v>
      </c>
      <c r="D117" s="11" t="s">
        <v>35</v>
      </c>
      <c r="E117" s="11" t="s">
        <v>193</v>
      </c>
      <c r="F117" s="11" t="s">
        <v>362</v>
      </c>
      <c r="G117" s="11" t="s">
        <v>231</v>
      </c>
      <c r="H117" s="11" t="s">
        <v>140</v>
      </c>
    </row>
    <row r="118" spans="2:8" x14ac:dyDescent="0.2">
      <c r="B118" s="362" t="str">
        <f t="shared" si="3"/>
        <v>GLA 2</v>
      </c>
      <c r="C118" s="349" t="s">
        <v>140</v>
      </c>
      <c r="D118" s="11" t="s">
        <v>36</v>
      </c>
      <c r="E118" s="11" t="s">
        <v>194</v>
      </c>
      <c r="F118" s="11" t="s">
        <v>363</v>
      </c>
      <c r="G118" s="11" t="s">
        <v>232</v>
      </c>
      <c r="H118" s="11" t="s">
        <v>140</v>
      </c>
    </row>
    <row r="119" spans="2:8" x14ac:dyDescent="0.2">
      <c r="B119" s="362" t="str">
        <f t="shared" si="3"/>
        <v>GLA 3</v>
      </c>
      <c r="C119" s="349" t="s">
        <v>140</v>
      </c>
      <c r="D119" s="11" t="s">
        <v>37</v>
      </c>
      <c r="E119" s="11" t="s">
        <v>195</v>
      </c>
      <c r="F119" s="11" t="s">
        <v>364</v>
      </c>
      <c r="G119" s="11" t="s">
        <v>233</v>
      </c>
      <c r="H119" s="11" t="s">
        <v>140</v>
      </c>
    </row>
    <row r="120" spans="2:8" x14ac:dyDescent="0.2">
      <c r="B120" s="362" t="str">
        <f t="shared" si="3"/>
        <v>GLA 4</v>
      </c>
      <c r="C120" s="349" t="s">
        <v>140</v>
      </c>
      <c r="D120" s="11" t="s">
        <v>38</v>
      </c>
      <c r="E120" s="11" t="s">
        <v>196</v>
      </c>
      <c r="F120" s="11" t="s">
        <v>365</v>
      </c>
      <c r="G120" s="11" t="s">
        <v>234</v>
      </c>
      <c r="H120" s="11" t="s">
        <v>140</v>
      </c>
    </row>
    <row r="121" spans="2:8" x14ac:dyDescent="0.2">
      <c r="B121" s="362" t="str">
        <f t="shared" si="3"/>
        <v>Siedlungshöhe</v>
      </c>
      <c r="C121" s="349" t="s">
        <v>140</v>
      </c>
      <c r="D121" s="11" t="s">
        <v>46</v>
      </c>
      <c r="E121" s="11" t="s">
        <v>246</v>
      </c>
      <c r="F121" s="11" t="s">
        <v>491</v>
      </c>
      <c r="G121" s="11" t="s">
        <v>246</v>
      </c>
      <c r="H121" s="11" t="s">
        <v>140</v>
      </c>
    </row>
    <row r="122" spans="2:8" x14ac:dyDescent="0.2">
      <c r="B122" s="362" t="str">
        <f t="shared" si="3"/>
        <v>Steilheit des
Geländes</v>
      </c>
      <c r="C122" s="349" t="s">
        <v>140</v>
      </c>
      <c r="D122" s="11" t="s">
        <v>423</v>
      </c>
      <c r="E122" s="11" t="s">
        <v>206</v>
      </c>
      <c r="F122" s="11" t="s">
        <v>492</v>
      </c>
      <c r="G122" s="11" t="s">
        <v>247</v>
      </c>
      <c r="H122" s="11" t="s">
        <v>140</v>
      </c>
    </row>
    <row r="123" spans="2:8" x14ac:dyDescent="0.2">
      <c r="B123" s="362" t="str">
        <f t="shared" si="3"/>
        <v>Siedlungsstruktur</v>
      </c>
      <c r="C123" s="349" t="s">
        <v>140</v>
      </c>
      <c r="D123" s="11" t="s">
        <v>47</v>
      </c>
      <c r="E123" s="11" t="s">
        <v>207</v>
      </c>
      <c r="F123" s="11" t="s">
        <v>493</v>
      </c>
      <c r="G123" s="11" t="s">
        <v>248</v>
      </c>
      <c r="H123" s="11" t="s">
        <v>140</v>
      </c>
    </row>
    <row r="124" spans="2:8" x14ac:dyDescent="0.2">
      <c r="B124" s="362" t="str">
        <f t="shared" si="3"/>
        <v>Geringe Bevölke-
rungsdichte</v>
      </c>
      <c r="C124" s="349" t="s">
        <v>140</v>
      </c>
      <c r="D124" s="11" t="s">
        <v>424</v>
      </c>
      <c r="E124" s="11" t="s">
        <v>462</v>
      </c>
      <c r="F124" s="11" t="s">
        <v>494</v>
      </c>
      <c r="G124" s="11" t="s">
        <v>544</v>
      </c>
      <c r="H124" s="11" t="s">
        <v>140</v>
      </c>
    </row>
    <row r="125" spans="2:8" x14ac:dyDescent="0.2">
      <c r="B125" s="363" t="str">
        <f t="shared" si="3"/>
        <v>GLA Total</v>
      </c>
      <c r="C125" s="349" t="s">
        <v>140</v>
      </c>
      <c r="D125" s="11" t="s">
        <v>209</v>
      </c>
      <c r="E125" s="11" t="s">
        <v>208</v>
      </c>
      <c r="F125" s="11" t="s">
        <v>390</v>
      </c>
      <c r="G125" s="11" t="s">
        <v>249</v>
      </c>
      <c r="H125" s="11" t="s">
        <v>140</v>
      </c>
    </row>
    <row r="126" spans="2:8" x14ac:dyDescent="0.2">
      <c r="B126" s="364" t="str">
        <f t="shared" si="3"/>
        <v>SLA A</v>
      </c>
      <c r="C126" s="349" t="s">
        <v>140</v>
      </c>
      <c r="D126" s="355" t="s">
        <v>79</v>
      </c>
      <c r="E126" s="355" t="s">
        <v>210</v>
      </c>
      <c r="F126" s="355" t="s">
        <v>391</v>
      </c>
      <c r="G126" s="355" t="s">
        <v>250</v>
      </c>
      <c r="H126" s="11" t="s">
        <v>140</v>
      </c>
    </row>
    <row r="127" spans="2:8" ht="11.25" customHeight="1" x14ac:dyDescent="0.2">
      <c r="B127" s="362" t="str">
        <f t="shared" si="3"/>
        <v>Armut
(Armutsindikator
des BFS)</v>
      </c>
      <c r="C127" s="349" t="s">
        <v>140</v>
      </c>
      <c r="D127" s="11" t="s">
        <v>483</v>
      </c>
      <c r="E127" s="11" t="s">
        <v>463</v>
      </c>
      <c r="F127" s="11" t="s">
        <v>495</v>
      </c>
      <c r="G127" s="11" t="s">
        <v>574</v>
      </c>
      <c r="H127" s="11" t="s">
        <v>140</v>
      </c>
    </row>
    <row r="128" spans="2:8" x14ac:dyDescent="0.2">
      <c r="B128" s="364" t="str">
        <f t="shared" si="3"/>
        <v>SLA B</v>
      </c>
      <c r="C128" s="349" t="s">
        <v>140</v>
      </c>
      <c r="D128" s="355" t="s">
        <v>80</v>
      </c>
      <c r="E128" s="355" t="s">
        <v>211</v>
      </c>
      <c r="F128" s="355" t="s">
        <v>392</v>
      </c>
      <c r="G128" s="355" t="s">
        <v>251</v>
      </c>
      <c r="H128" s="11" t="s">
        <v>140</v>
      </c>
    </row>
    <row r="129" spans="2:8" ht="11.25" customHeight="1" x14ac:dyDescent="0.2">
      <c r="B129" s="362" t="str">
        <f t="shared" si="3"/>
        <v>Altersstruktur
(Anteil der Bevölkerung über 80 Jahre
an der Wohnbevölkerung)</v>
      </c>
      <c r="C129" s="349" t="s">
        <v>140</v>
      </c>
      <c r="D129" s="11" t="s">
        <v>567</v>
      </c>
      <c r="E129" s="11" t="s">
        <v>570</v>
      </c>
      <c r="F129" s="11" t="s">
        <v>568</v>
      </c>
      <c r="G129" s="11" t="s">
        <v>572</v>
      </c>
      <c r="H129" s="11" t="s">
        <v>140</v>
      </c>
    </row>
    <row r="130" spans="2:8" x14ac:dyDescent="0.2">
      <c r="B130" s="364" t="str">
        <f t="shared" si="3"/>
        <v>SLA C</v>
      </c>
      <c r="C130" s="349" t="s">
        <v>140</v>
      </c>
      <c r="D130" s="355" t="s">
        <v>81</v>
      </c>
      <c r="E130" s="355" t="s">
        <v>212</v>
      </c>
      <c r="F130" s="355" t="s">
        <v>393</v>
      </c>
      <c r="G130" s="355" t="s">
        <v>235</v>
      </c>
      <c r="H130" s="11" t="s">
        <v>140</v>
      </c>
    </row>
    <row r="131" spans="2:8" ht="11.25" customHeight="1" x14ac:dyDescent="0.2">
      <c r="B131" s="362" t="str">
        <f t="shared" si="3"/>
        <v>Ausländerintegration
(Anteil der massgebenden ausländischen
Bevölkerung an der Wohnbevölkerung)</v>
      </c>
      <c r="C131" s="349" t="s">
        <v>140</v>
      </c>
      <c r="D131" s="11" t="s">
        <v>569</v>
      </c>
      <c r="E131" s="11" t="s">
        <v>464</v>
      </c>
      <c r="F131" s="11" t="s">
        <v>496</v>
      </c>
      <c r="G131" s="11" t="s">
        <v>571</v>
      </c>
      <c r="H131" s="11" t="s">
        <v>140</v>
      </c>
    </row>
    <row r="132" spans="2:8" x14ac:dyDescent="0.2">
      <c r="B132" s="362" t="str">
        <f t="shared" si="3"/>
        <v>Indikator</v>
      </c>
      <c r="C132" s="349" t="s">
        <v>140</v>
      </c>
      <c r="D132" s="11" t="s">
        <v>1</v>
      </c>
      <c r="E132" s="11" t="s">
        <v>200</v>
      </c>
      <c r="F132" s="11" t="s">
        <v>347</v>
      </c>
      <c r="G132" s="11" t="s">
        <v>226</v>
      </c>
      <c r="H132" s="11" t="s">
        <v>140</v>
      </c>
    </row>
    <row r="133" spans="2:8" x14ac:dyDescent="0.2">
      <c r="B133" s="362" t="str">
        <f t="shared" si="3"/>
        <v>Ständige Wohn-
bevölkerung</v>
      </c>
      <c r="C133" s="349" t="s">
        <v>140</v>
      </c>
      <c r="D133" s="11" t="s">
        <v>421</v>
      </c>
      <c r="E133" s="11" t="s">
        <v>453</v>
      </c>
      <c r="F133" s="11" t="s">
        <v>497</v>
      </c>
      <c r="G133" s="11" t="s">
        <v>524</v>
      </c>
      <c r="H133" s="11" t="s">
        <v>140</v>
      </c>
    </row>
    <row r="134" spans="2:8" x14ac:dyDescent="0.2">
      <c r="B134" s="362" t="str">
        <f t="shared" si="3"/>
        <v>Bevölkerung
über 80 Jahre</v>
      </c>
      <c r="C134" s="349" t="s">
        <v>140</v>
      </c>
      <c r="D134" s="11" t="s">
        <v>425</v>
      </c>
      <c r="E134" s="11" t="s">
        <v>465</v>
      </c>
      <c r="F134" s="11" t="s">
        <v>498</v>
      </c>
      <c r="G134" s="11" t="s">
        <v>545</v>
      </c>
      <c r="H134" s="11" t="s">
        <v>140</v>
      </c>
    </row>
    <row r="135" spans="2:8" x14ac:dyDescent="0.2">
      <c r="B135" s="363" t="str">
        <f t="shared" si="3"/>
        <v>Massgebende
ausländische
Bevölkerung</v>
      </c>
      <c r="C135" s="349" t="s">
        <v>140</v>
      </c>
      <c r="D135" s="11" t="s">
        <v>426</v>
      </c>
      <c r="E135" s="11" t="s">
        <v>466</v>
      </c>
      <c r="F135" s="11" t="s">
        <v>499</v>
      </c>
      <c r="G135" s="11" t="s">
        <v>546</v>
      </c>
      <c r="H135" s="11" t="s">
        <v>140</v>
      </c>
    </row>
    <row r="136" spans="2:8" x14ac:dyDescent="0.2">
      <c r="B136" s="364" t="str">
        <f t="shared" si="3"/>
        <v>SLA A-C 2019</v>
      </c>
      <c r="C136" s="349" t="s">
        <v>140</v>
      </c>
      <c r="D136" s="355" t="str">
        <f>"SLA A-C " &amp; $G$2</f>
        <v>SLA A-C 2019</v>
      </c>
      <c r="E136" s="355" t="str">
        <f>"CCS A-C " &amp; $G$2</f>
        <v>CCS A-C 2019</v>
      </c>
      <c r="F136" s="355" t="str">
        <f>"PAS A-C " &amp; $G$2</f>
        <v>PAS A-C 2019</v>
      </c>
      <c r="G136" s="355" t="str">
        <f>"SCC A-C " &amp; $G$2</f>
        <v>SCC A-C 2019</v>
      </c>
      <c r="H136" s="11" t="s">
        <v>140</v>
      </c>
    </row>
    <row r="137" spans="2:8" x14ac:dyDescent="0.2">
      <c r="B137" s="362" t="str">
        <f t="shared" si="3"/>
        <v>Gewicht (ω)</v>
      </c>
      <c r="C137" s="349" t="s">
        <v>140</v>
      </c>
      <c r="D137" s="11" t="s">
        <v>171</v>
      </c>
      <c r="E137" s="11" t="s">
        <v>217</v>
      </c>
      <c r="F137" s="11" t="s">
        <v>394</v>
      </c>
      <c r="G137" s="11" t="s">
        <v>283</v>
      </c>
      <c r="H137" s="11" t="s">
        <v>140</v>
      </c>
    </row>
    <row r="138" spans="2:8" x14ac:dyDescent="0.2">
      <c r="B138" s="362" t="str">
        <f t="shared" ref="B138:B169" si="4">HLOOKUP($B$9,$D$9:$G$177,ROW()-$B$8,FALSE)</f>
        <v>Teilindikatoren</v>
      </c>
      <c r="C138" s="349" t="s">
        <v>140</v>
      </c>
      <c r="D138" s="11" t="s">
        <v>61</v>
      </c>
      <c r="E138" s="11" t="s">
        <v>213</v>
      </c>
      <c r="F138" s="11" t="s">
        <v>395</v>
      </c>
      <c r="G138" s="11" t="s">
        <v>252</v>
      </c>
      <c r="H138" s="11" t="s">
        <v>140</v>
      </c>
    </row>
    <row r="139" spans="2:8" x14ac:dyDescent="0.2">
      <c r="B139" s="362" t="str">
        <f t="shared" si="4"/>
        <v>Standardisierte Teilindikatoren</v>
      </c>
      <c r="C139" s="349" t="s">
        <v>140</v>
      </c>
      <c r="D139" s="11" t="s">
        <v>62</v>
      </c>
      <c r="E139" s="11" t="s">
        <v>214</v>
      </c>
      <c r="F139" s="11" t="s">
        <v>396</v>
      </c>
      <c r="G139" s="11" t="s">
        <v>253</v>
      </c>
      <c r="H139" s="11" t="s">
        <v>140</v>
      </c>
    </row>
    <row r="140" spans="2:8" x14ac:dyDescent="0.2">
      <c r="B140" s="362" t="str">
        <f t="shared" si="4"/>
        <v>Gewichtete
standardisierte Teilindikatoren</v>
      </c>
      <c r="C140" s="349" t="s">
        <v>140</v>
      </c>
      <c r="D140" s="11" t="s">
        <v>427</v>
      </c>
      <c r="E140" s="11" t="s">
        <v>467</v>
      </c>
      <c r="F140" s="11" t="s">
        <v>500</v>
      </c>
      <c r="G140" s="11" t="s">
        <v>254</v>
      </c>
      <c r="H140" s="11" t="s">
        <v>140</v>
      </c>
    </row>
    <row r="141" spans="2:8" x14ac:dyDescent="0.2">
      <c r="B141" s="362" t="str">
        <f t="shared" si="4"/>
        <v>Armut
(SLA A)</v>
      </c>
      <c r="C141" s="349" t="s">
        <v>140</v>
      </c>
      <c r="D141" s="11" t="s">
        <v>63</v>
      </c>
      <c r="E141" s="11" t="s">
        <v>468</v>
      </c>
      <c r="F141" s="11" t="s">
        <v>501</v>
      </c>
      <c r="G141" s="11" t="s">
        <v>547</v>
      </c>
      <c r="H141" s="11" t="s">
        <v>140</v>
      </c>
    </row>
    <row r="142" spans="2:8" x14ac:dyDescent="0.2">
      <c r="B142" s="362" t="str">
        <f t="shared" si="4"/>
        <v>Alters-
struktur
(SLA B)</v>
      </c>
      <c r="C142" s="349" t="s">
        <v>140</v>
      </c>
      <c r="D142" s="11" t="s">
        <v>428</v>
      </c>
      <c r="E142" s="11" t="s">
        <v>469</v>
      </c>
      <c r="F142" s="11" t="s">
        <v>502</v>
      </c>
      <c r="G142" s="11" t="s">
        <v>548</v>
      </c>
      <c r="H142" s="11" t="s">
        <v>140</v>
      </c>
    </row>
    <row r="143" spans="2:8" x14ac:dyDescent="0.2">
      <c r="B143" s="362" t="str">
        <f t="shared" si="4"/>
        <v>Ausländer-
integration
(SLA C)</v>
      </c>
      <c r="C143" s="349" t="s">
        <v>140</v>
      </c>
      <c r="D143" s="11" t="s">
        <v>429</v>
      </c>
      <c r="E143" s="11" t="s">
        <v>470</v>
      </c>
      <c r="F143" s="11" t="s">
        <v>503</v>
      </c>
      <c r="G143" s="11" t="s">
        <v>549</v>
      </c>
      <c r="H143" s="11" t="s">
        <v>140</v>
      </c>
    </row>
    <row r="144" spans="2:8" x14ac:dyDescent="0.2">
      <c r="B144" s="362" t="str">
        <f t="shared" si="4"/>
        <v>Lasten-
index</v>
      </c>
      <c r="C144" s="349" t="s">
        <v>140</v>
      </c>
      <c r="D144" s="11" t="s">
        <v>181</v>
      </c>
      <c r="E144" s="11" t="s">
        <v>454</v>
      </c>
      <c r="F144" s="11" t="s">
        <v>504</v>
      </c>
      <c r="G144" s="11" t="s">
        <v>525</v>
      </c>
      <c r="H144" s="11" t="s">
        <v>140</v>
      </c>
    </row>
    <row r="145" spans="2:8" x14ac:dyDescent="0.2">
      <c r="B145" s="362" t="str">
        <f t="shared" si="4"/>
        <v>Masszahl
Lasten</v>
      </c>
      <c r="C145" s="349" t="s">
        <v>140</v>
      </c>
      <c r="D145" s="11" t="s">
        <v>65</v>
      </c>
      <c r="E145" s="11" t="s">
        <v>471</v>
      </c>
      <c r="F145" s="11" t="s">
        <v>505</v>
      </c>
      <c r="G145" s="11" t="s">
        <v>550</v>
      </c>
      <c r="H145" s="11" t="s">
        <v>140</v>
      </c>
    </row>
    <row r="146" spans="2:8" x14ac:dyDescent="0.2">
      <c r="B146" s="362" t="str">
        <f t="shared" si="4"/>
        <v>Massgebende
Sonderlasten</v>
      </c>
      <c r="C146" s="349" t="s">
        <v>140</v>
      </c>
      <c r="D146" s="11" t="s">
        <v>422</v>
      </c>
      <c r="E146" s="11" t="s">
        <v>472</v>
      </c>
      <c r="F146" s="11" t="s">
        <v>506</v>
      </c>
      <c r="G146" s="11" t="s">
        <v>526</v>
      </c>
      <c r="H146" s="11" t="s">
        <v>140</v>
      </c>
    </row>
    <row r="147" spans="2:8" x14ac:dyDescent="0.2">
      <c r="B147" s="362" t="str">
        <f t="shared" si="4"/>
        <v>Auszahlung
SLA A-C</v>
      </c>
      <c r="C147" s="349" t="s">
        <v>140</v>
      </c>
      <c r="D147" s="11" t="s">
        <v>430</v>
      </c>
      <c r="E147" s="11" t="s">
        <v>473</v>
      </c>
      <c r="F147" s="11" t="s">
        <v>507</v>
      </c>
      <c r="G147" s="11" t="s">
        <v>551</v>
      </c>
      <c r="H147" s="11" t="s">
        <v>140</v>
      </c>
    </row>
    <row r="148" spans="2:8" x14ac:dyDescent="0.2">
      <c r="B148" s="362" t="str">
        <f t="shared" si="4"/>
        <v>L - L[Min]</v>
      </c>
      <c r="C148" s="349" t="s">
        <v>140</v>
      </c>
      <c r="D148" s="11" t="s">
        <v>179</v>
      </c>
      <c r="E148" s="11" t="s">
        <v>302</v>
      </c>
      <c r="F148" s="11" t="s">
        <v>397</v>
      </c>
      <c r="G148" s="11" t="s">
        <v>179</v>
      </c>
      <c r="H148" s="11" t="s">
        <v>140</v>
      </c>
    </row>
    <row r="149" spans="2:8" x14ac:dyDescent="0.2">
      <c r="B149" s="362" t="str">
        <f t="shared" si="4"/>
        <v>(M-M[MW]) * Bev</v>
      </c>
      <c r="C149" s="349" t="s">
        <v>140</v>
      </c>
      <c r="D149" s="11" t="s">
        <v>257</v>
      </c>
      <c r="E149" s="11" t="s">
        <v>303</v>
      </c>
      <c r="F149" s="11" t="s">
        <v>398</v>
      </c>
      <c r="G149" s="11" t="s">
        <v>258</v>
      </c>
      <c r="H149" s="11" t="s">
        <v>140</v>
      </c>
    </row>
    <row r="150" spans="2:8" x14ac:dyDescent="0.2">
      <c r="B150" s="362" t="str">
        <f t="shared" si="4"/>
        <v>N / N[Schweiz] * Dot</v>
      </c>
      <c r="C150" s="349" t="s">
        <v>140</v>
      </c>
      <c r="D150" s="11" t="s">
        <v>180</v>
      </c>
      <c r="E150" s="11" t="s">
        <v>304</v>
      </c>
      <c r="F150" s="11" t="s">
        <v>399</v>
      </c>
      <c r="G150" s="11" t="s">
        <v>575</v>
      </c>
      <c r="H150" s="11" t="s">
        <v>140</v>
      </c>
    </row>
    <row r="151" spans="2:8" x14ac:dyDescent="0.2">
      <c r="B151" s="362" t="str">
        <f t="shared" si="4"/>
        <v>Mittelwert (MW)</v>
      </c>
      <c r="C151" s="349" t="s">
        <v>140</v>
      </c>
      <c r="D151" s="11" t="s">
        <v>64</v>
      </c>
      <c r="E151" s="11" t="s">
        <v>305</v>
      </c>
      <c r="F151" s="11" t="s">
        <v>400</v>
      </c>
      <c r="G151" s="11" t="s">
        <v>255</v>
      </c>
      <c r="H151" s="11" t="s">
        <v>140</v>
      </c>
    </row>
    <row r="152" spans="2:8" x14ac:dyDescent="0.2">
      <c r="B152" s="362" t="str">
        <f t="shared" si="4"/>
        <v>Standardabweichung</v>
      </c>
      <c r="C152" s="349" t="s">
        <v>140</v>
      </c>
      <c r="D152" s="11" t="s">
        <v>287</v>
      </c>
      <c r="E152" s="11" t="s">
        <v>306</v>
      </c>
      <c r="F152" s="11" t="s">
        <v>401</v>
      </c>
      <c r="G152" s="11" t="s">
        <v>288</v>
      </c>
      <c r="H152" s="11" t="s">
        <v>140</v>
      </c>
    </row>
    <row r="153" spans="2:8" x14ac:dyDescent="0.2">
      <c r="B153" s="363" t="str">
        <f t="shared" si="4"/>
        <v>Minimum (Min)</v>
      </c>
      <c r="C153" s="349" t="s">
        <v>140</v>
      </c>
      <c r="D153" s="11" t="s">
        <v>66</v>
      </c>
      <c r="E153" s="11" t="s">
        <v>307</v>
      </c>
      <c r="F153" s="11" t="s">
        <v>402</v>
      </c>
      <c r="G153" s="11" t="s">
        <v>66</v>
      </c>
      <c r="H153" s="11" t="s">
        <v>140</v>
      </c>
    </row>
    <row r="154" spans="2:8" x14ac:dyDescent="0.2">
      <c r="B154" s="364" t="str">
        <f t="shared" si="4"/>
        <v>Massgebende Sonderlasten Kernstädte (SLA F) 2019</v>
      </c>
      <c r="C154" s="349" t="s">
        <v>140</v>
      </c>
      <c r="D154" s="355" t="str">
        <f>"Massgebende Sonderlasten Kernstädte (SLA F) " &amp; $G$2</f>
        <v>Massgebende Sonderlasten Kernstädte (SLA F) 2019</v>
      </c>
      <c r="E154" s="355" t="str">
        <f>"Charges excessives déterminantes des villes-centres (CCS F) " &amp; $G$2</f>
        <v>Charges excessives déterminantes des villes-centres (CCS F) 2019</v>
      </c>
      <c r="F154" s="355" t="str">
        <f>"Oneri speciali determinanti delle città polo (PAS F) " &amp; $G$2</f>
        <v>Oneri speciali determinanti delle città polo (PAS F) 2019</v>
      </c>
      <c r="G154" s="355" t="str">
        <f>"Relevant excessive costs core cities (SCC F) " &amp; $G$2</f>
        <v>Relevant excessive costs core cities (SCC F) 2019</v>
      </c>
      <c r="H154" s="11" t="s">
        <v>140</v>
      </c>
    </row>
    <row r="155" spans="2:8" x14ac:dyDescent="0.2">
      <c r="B155" s="362" t="str">
        <f t="shared" si="4"/>
        <v>(Teil-)Indikatoren Gemeinden</v>
      </c>
      <c r="C155" s="349" t="s">
        <v>140</v>
      </c>
      <c r="D155" s="11" t="s">
        <v>71</v>
      </c>
      <c r="E155" s="11" t="s">
        <v>308</v>
      </c>
      <c r="F155" s="11" t="s">
        <v>403</v>
      </c>
      <c r="G155" s="11" t="s">
        <v>284</v>
      </c>
      <c r="H155" s="11" t="s">
        <v>140</v>
      </c>
    </row>
    <row r="156" spans="2:8" x14ac:dyDescent="0.2">
      <c r="B156" s="362" t="str">
        <f t="shared" si="4"/>
        <v>Kantons-
nummer
BFS</v>
      </c>
      <c r="C156" s="349" t="s">
        <v>140</v>
      </c>
      <c r="D156" s="11" t="s">
        <v>431</v>
      </c>
      <c r="E156" s="11" t="s">
        <v>474</v>
      </c>
      <c r="F156" s="11" t="s">
        <v>508</v>
      </c>
      <c r="G156" s="11" t="s">
        <v>552</v>
      </c>
      <c r="H156" s="11" t="s">
        <v>140</v>
      </c>
    </row>
    <row r="157" spans="2:8" x14ac:dyDescent="0.2">
      <c r="B157" s="362" t="str">
        <f t="shared" si="4"/>
        <v>Gemeinde-
nummer
BFS</v>
      </c>
      <c r="C157" s="349" t="s">
        <v>140</v>
      </c>
      <c r="D157" s="11" t="s">
        <v>91</v>
      </c>
      <c r="E157" s="11" t="s">
        <v>475</v>
      </c>
      <c r="F157" s="11" t="s">
        <v>509</v>
      </c>
      <c r="G157" s="11" t="s">
        <v>553</v>
      </c>
      <c r="H157" s="11" t="s">
        <v>140</v>
      </c>
    </row>
    <row r="158" spans="2:8" x14ac:dyDescent="0.2">
      <c r="B158" s="362" t="str">
        <f t="shared" si="4"/>
        <v>Gemeindebezeichnung</v>
      </c>
      <c r="C158" s="349" t="s">
        <v>140</v>
      </c>
      <c r="D158" s="11" t="s">
        <v>510</v>
      </c>
      <c r="E158" s="11" t="s">
        <v>511</v>
      </c>
      <c r="F158" s="11" t="s">
        <v>404</v>
      </c>
      <c r="G158" s="11" t="s">
        <v>285</v>
      </c>
      <c r="H158" s="11" t="s">
        <v>140</v>
      </c>
    </row>
    <row r="159" spans="2:8" x14ac:dyDescent="0.2">
      <c r="B159" s="362" t="str">
        <f t="shared" si="4"/>
        <v>Ständige
Wohnbe-
völkerung</v>
      </c>
      <c r="C159" s="349" t="s">
        <v>140</v>
      </c>
      <c r="D159" s="11" t="s">
        <v>85</v>
      </c>
      <c r="E159" s="11" t="s">
        <v>453</v>
      </c>
      <c r="F159" s="11" t="s">
        <v>497</v>
      </c>
      <c r="G159" s="11" t="s">
        <v>524</v>
      </c>
      <c r="H159" s="11" t="s">
        <v>140</v>
      </c>
    </row>
    <row r="160" spans="2:8" x14ac:dyDescent="0.2">
      <c r="B160" s="362" t="str">
        <f t="shared" si="4"/>
        <v>Beschäf-
tigung</v>
      </c>
      <c r="C160" s="349" t="s">
        <v>140</v>
      </c>
      <c r="D160" s="11" t="s">
        <v>90</v>
      </c>
      <c r="E160" s="11" t="s">
        <v>215</v>
      </c>
      <c r="F160" s="11" t="s">
        <v>405</v>
      </c>
      <c r="G160" s="11" t="s">
        <v>286</v>
      </c>
      <c r="H160" s="11" t="s">
        <v>140</v>
      </c>
    </row>
    <row r="161" spans="2:8" x14ac:dyDescent="0.2">
      <c r="B161" s="362" t="str">
        <f t="shared" si="4"/>
        <v>Fläche</v>
      </c>
      <c r="C161" s="349" t="s">
        <v>140</v>
      </c>
      <c r="D161" s="11" t="s">
        <v>70</v>
      </c>
      <c r="E161" s="11" t="s">
        <v>201</v>
      </c>
      <c r="F161" s="11" t="s">
        <v>385</v>
      </c>
      <c r="G161" s="11" t="s">
        <v>554</v>
      </c>
      <c r="H161" s="11" t="s">
        <v>140</v>
      </c>
    </row>
    <row r="162" spans="2:8" x14ac:dyDescent="0.2">
      <c r="B162" s="362" t="str">
        <f t="shared" si="4"/>
        <v>Beschäfti-
gungs-
quote</v>
      </c>
      <c r="C162" s="349" t="s">
        <v>140</v>
      </c>
      <c r="D162" s="11" t="s">
        <v>89</v>
      </c>
      <c r="E162" s="11" t="s">
        <v>476</v>
      </c>
      <c r="F162" s="11" t="s">
        <v>512</v>
      </c>
      <c r="G162" s="11" t="s">
        <v>555</v>
      </c>
      <c r="H162" s="11" t="s">
        <v>140</v>
      </c>
    </row>
    <row r="163" spans="2:8" x14ac:dyDescent="0.2">
      <c r="B163" s="362" t="str">
        <f t="shared" si="4"/>
        <v>Siedlungs-
dichte</v>
      </c>
      <c r="C163" s="349" t="s">
        <v>140</v>
      </c>
      <c r="D163" s="11" t="s">
        <v>92</v>
      </c>
      <c r="E163" s="11" t="s">
        <v>477</v>
      </c>
      <c r="F163" s="11" t="s">
        <v>513</v>
      </c>
      <c r="G163" s="11" t="s">
        <v>556</v>
      </c>
      <c r="H163" s="11" t="s">
        <v>140</v>
      </c>
    </row>
    <row r="164" spans="2:8" x14ac:dyDescent="0.2">
      <c r="B164" s="362" t="str">
        <f t="shared" si="4"/>
        <v>Gemeinde-
indikator</v>
      </c>
      <c r="C164" s="349" t="s">
        <v>140</v>
      </c>
      <c r="D164" s="11" t="s">
        <v>432</v>
      </c>
      <c r="E164" s="11" t="s">
        <v>478</v>
      </c>
      <c r="F164" s="11" t="s">
        <v>515</v>
      </c>
      <c r="G164" s="11" t="s">
        <v>557</v>
      </c>
      <c r="H164" s="11" t="s">
        <v>140</v>
      </c>
    </row>
    <row r="165" spans="2:8" x14ac:dyDescent="0.2">
      <c r="B165" s="363" t="str">
        <f t="shared" si="4"/>
        <v>Gemeinde-
indikator
gewichtet</v>
      </c>
      <c r="C165" s="349" t="s">
        <v>140</v>
      </c>
      <c r="D165" s="11" t="s">
        <v>433</v>
      </c>
      <c r="E165" s="11" t="s">
        <v>479</v>
      </c>
      <c r="F165" s="11" t="s">
        <v>514</v>
      </c>
      <c r="G165" s="11" t="s">
        <v>558</v>
      </c>
      <c r="H165" s="11" t="s">
        <v>140</v>
      </c>
    </row>
    <row r="166" spans="2:8" x14ac:dyDescent="0.2">
      <c r="B166" s="364" t="str">
        <f t="shared" si="4"/>
        <v>Auszahlungen SLA F 2019</v>
      </c>
      <c r="C166" s="349" t="s">
        <v>140</v>
      </c>
      <c r="D166" s="355" t="str">
        <f>"Auszahlungen SLA F " &amp; $G$2</f>
        <v>Auszahlungen SLA F 2019</v>
      </c>
      <c r="E166" s="355" t="str">
        <f>"Montants reçus au titre des CCS F " &amp; $G$2</f>
        <v>Montants reçus au titre des CCS F 2019</v>
      </c>
      <c r="F166" s="355" t="str">
        <f>"Versamenti PAS F " &amp; $G$2</f>
        <v>Versamenti PAS F 2019</v>
      </c>
      <c r="G166" s="355" t="str">
        <f>"Outpayments SCC F " &amp; $G$2</f>
        <v>Outpayments SCC F 2019</v>
      </c>
      <c r="H166" s="11" t="s">
        <v>140</v>
      </c>
    </row>
    <row r="167" spans="2:8" x14ac:dyDescent="0.2">
      <c r="B167" s="362" t="str">
        <f t="shared" si="4"/>
        <v>Ständige
Wohnbe-
völkerung</v>
      </c>
      <c r="C167" s="349" t="s">
        <v>140</v>
      </c>
      <c r="D167" s="11" t="s">
        <v>85</v>
      </c>
      <c r="E167" s="11" t="s">
        <v>453</v>
      </c>
      <c r="F167" s="11" t="s">
        <v>497</v>
      </c>
      <c r="G167" s="11" t="s">
        <v>524</v>
      </c>
      <c r="H167" s="11" t="s">
        <v>140</v>
      </c>
    </row>
    <row r="168" spans="2:8" x14ac:dyDescent="0.2">
      <c r="B168" s="362" t="str">
        <f t="shared" si="4"/>
        <v>Summe
Gemeinde-
indikatoren</v>
      </c>
      <c r="C168" s="349" t="s">
        <v>140</v>
      </c>
      <c r="D168" s="11" t="s">
        <v>434</v>
      </c>
      <c r="E168" s="11" t="s">
        <v>480</v>
      </c>
      <c r="F168" s="11" t="s">
        <v>516</v>
      </c>
      <c r="G168" s="11" t="s">
        <v>559</v>
      </c>
      <c r="H168" s="11" t="s">
        <v>140</v>
      </c>
    </row>
    <row r="169" spans="2:8" x14ac:dyDescent="0.2">
      <c r="B169" s="362" t="str">
        <f t="shared" si="4"/>
        <v>Kernstadt-
indikator</v>
      </c>
      <c r="C169" s="349" t="s">
        <v>140</v>
      </c>
      <c r="D169" s="11" t="s">
        <v>435</v>
      </c>
      <c r="E169" s="11" t="s">
        <v>481</v>
      </c>
      <c r="F169" s="11" t="s">
        <v>517</v>
      </c>
      <c r="G169" s="11" t="s">
        <v>560</v>
      </c>
      <c r="H169" s="11" t="s">
        <v>140</v>
      </c>
    </row>
    <row r="170" spans="2:8" x14ac:dyDescent="0.2">
      <c r="B170" s="362" t="str">
        <f t="shared" ref="B170:B177" si="5">HLOOKUP($B$9,$D$9:$G$177,ROW()-$B$8,FALSE)</f>
        <v>Masszahl
Lasten</v>
      </c>
      <c r="C170" s="349" t="s">
        <v>140</v>
      </c>
      <c r="D170" s="11" t="s">
        <v>65</v>
      </c>
      <c r="E170" s="11" t="s">
        <v>471</v>
      </c>
      <c r="F170" s="11" t="s">
        <v>505</v>
      </c>
      <c r="G170" s="11" t="s">
        <v>550</v>
      </c>
      <c r="H170" s="11" t="s">
        <v>140</v>
      </c>
    </row>
    <row r="171" spans="2:8" x14ac:dyDescent="0.2">
      <c r="B171" s="362" t="str">
        <f t="shared" si="5"/>
        <v>Massgebende
Sonderlasten</v>
      </c>
      <c r="C171" s="349" t="s">
        <v>140</v>
      </c>
      <c r="D171" s="11" t="s">
        <v>422</v>
      </c>
      <c r="E171" s="11" t="s">
        <v>472</v>
      </c>
      <c r="F171" s="11" t="s">
        <v>506</v>
      </c>
      <c r="G171" s="11" t="s">
        <v>526</v>
      </c>
      <c r="H171" s="11" t="s">
        <v>140</v>
      </c>
    </row>
    <row r="172" spans="2:8" x14ac:dyDescent="0.2">
      <c r="B172" s="362" t="str">
        <f t="shared" si="5"/>
        <v>Auszahlung
SLA F</v>
      </c>
      <c r="C172" s="349" t="s">
        <v>140</v>
      </c>
      <c r="D172" s="11" t="s">
        <v>114</v>
      </c>
      <c r="E172" s="11" t="s">
        <v>482</v>
      </c>
      <c r="F172" s="11" t="s">
        <v>436</v>
      </c>
      <c r="G172" s="11" t="s">
        <v>437</v>
      </c>
      <c r="H172" s="11" t="s">
        <v>140</v>
      </c>
    </row>
    <row r="173" spans="2:8" x14ac:dyDescent="0.2">
      <c r="B173" s="362" t="str">
        <f t="shared" si="5"/>
        <v>E - E[Min]</v>
      </c>
      <c r="C173" s="349" t="s">
        <v>140</v>
      </c>
      <c r="D173" s="11" t="s">
        <v>182</v>
      </c>
      <c r="E173" s="11" t="s">
        <v>309</v>
      </c>
      <c r="F173" s="11" t="s">
        <v>406</v>
      </c>
      <c r="G173" s="11" t="s">
        <v>182</v>
      </c>
      <c r="H173" s="11" t="s">
        <v>140</v>
      </c>
    </row>
    <row r="174" spans="2:8" x14ac:dyDescent="0.2">
      <c r="B174" s="362" t="str">
        <f t="shared" si="5"/>
        <v>C * (F - F[MW])</v>
      </c>
      <c r="C174" s="349" t="s">
        <v>140</v>
      </c>
      <c r="D174" s="11" t="s">
        <v>183</v>
      </c>
      <c r="E174" s="11" t="s">
        <v>310</v>
      </c>
      <c r="F174" s="11" t="s">
        <v>407</v>
      </c>
      <c r="G174" s="11" t="s">
        <v>256</v>
      </c>
      <c r="H174" s="11" t="s">
        <v>140</v>
      </c>
    </row>
    <row r="175" spans="2:8" x14ac:dyDescent="0.2">
      <c r="B175" s="362" t="str">
        <f t="shared" si="5"/>
        <v>G / G[Schweiz] * Dot</v>
      </c>
      <c r="C175" s="349" t="s">
        <v>140</v>
      </c>
      <c r="D175" s="11" t="s">
        <v>184</v>
      </c>
      <c r="E175" s="11" t="s">
        <v>311</v>
      </c>
      <c r="F175" s="11" t="s">
        <v>408</v>
      </c>
      <c r="G175" s="11" t="s">
        <v>561</v>
      </c>
      <c r="H175" s="11" t="s">
        <v>140</v>
      </c>
    </row>
    <row r="176" spans="2:8" x14ac:dyDescent="0.2">
      <c r="B176" s="362" t="str">
        <f t="shared" si="5"/>
        <v>Minimum (Min)</v>
      </c>
      <c r="C176" s="349" t="s">
        <v>140</v>
      </c>
      <c r="D176" s="11" t="s">
        <v>66</v>
      </c>
      <c r="E176" s="11" t="s">
        <v>307</v>
      </c>
      <c r="F176" s="11" t="s">
        <v>402</v>
      </c>
      <c r="G176" s="11" t="s">
        <v>66</v>
      </c>
      <c r="H176" s="11" t="s">
        <v>140</v>
      </c>
    </row>
    <row r="177" spans="2:8" x14ac:dyDescent="0.2">
      <c r="B177" s="363" t="str">
        <f t="shared" si="5"/>
        <v>Mittelwert (MW)</v>
      </c>
      <c r="C177" s="349" t="s">
        <v>140</v>
      </c>
      <c r="D177" s="11" t="s">
        <v>64</v>
      </c>
      <c r="E177" s="11" t="s">
        <v>305</v>
      </c>
      <c r="F177" s="11" t="s">
        <v>400</v>
      </c>
      <c r="G177" s="11" t="s">
        <v>255</v>
      </c>
      <c r="H177" s="11" t="s">
        <v>140</v>
      </c>
    </row>
  </sheetData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F36"/>
  <sheetViews>
    <sheetView showGridLines="0" zoomScaleNormal="100" workbookViewId="0">
      <selection activeCell="A87" sqref="A87"/>
    </sheetView>
  </sheetViews>
  <sheetFormatPr baseColWidth="10" defaultColWidth="9.140625" defaultRowHeight="12.75" x14ac:dyDescent="0.2"/>
  <cols>
    <col min="1" max="1" width="3.5703125" customWidth="1"/>
    <col min="2" max="2" width="17.42578125" customWidth="1"/>
    <col min="3" max="6" width="15.7109375" customWidth="1"/>
    <col min="7" max="7" width="3.5703125" customWidth="1"/>
  </cols>
  <sheetData>
    <row r="1" spans="2:6" ht="48" customHeight="1" x14ac:dyDescent="0.2"/>
    <row r="2" spans="2:6" ht="28.5" customHeight="1" x14ac:dyDescent="0.2">
      <c r="B2" s="368" t="str">
        <f>DFIE!B65</f>
        <v>Zahlungen im</v>
      </c>
      <c r="C2" s="368"/>
      <c r="D2" s="368"/>
      <c r="E2" s="368"/>
      <c r="F2" s="368"/>
    </row>
    <row r="3" spans="2:6" ht="27.75" customHeight="1" x14ac:dyDescent="0.2">
      <c r="B3" s="369" t="str">
        <f>DFIE!B66</f>
        <v>Lastenausgleich 2019</v>
      </c>
      <c r="C3" s="369"/>
      <c r="D3" s="369"/>
      <c r="E3" s="369"/>
      <c r="F3" s="369"/>
    </row>
    <row r="4" spans="2:6" ht="16.5" customHeight="1" x14ac:dyDescent="0.2">
      <c r="B4" s="31"/>
    </row>
    <row r="5" spans="2:6" ht="16.5" customHeight="1" x14ac:dyDescent="0.2">
      <c r="B5" s="31"/>
    </row>
    <row r="6" spans="2:6" ht="16.5" customHeight="1" x14ac:dyDescent="0.2">
      <c r="B6" s="31"/>
    </row>
    <row r="7" spans="2:6" x14ac:dyDescent="0.2">
      <c r="B7" s="15" t="str">
        <f>DFIE!B67</f>
        <v>Auszahlungen in CHF</v>
      </c>
    </row>
    <row r="8" spans="2:6" ht="64.900000000000006" customHeight="1" x14ac:dyDescent="0.2">
      <c r="B8" s="30"/>
      <c r="C8" s="14" t="str">
        <f>DFIE!B68</f>
        <v>Geografisch-
topografischer
Lastenausgleich
(GLA)</v>
      </c>
      <c r="D8" s="16" t="str">
        <f>DFIE!B69</f>
        <v>Sozio-
demografischer
Lastenausgleich
(SLA A-C)</v>
      </c>
      <c r="E8" s="14" t="str">
        <f>DFIE!B70</f>
        <v>Sozio-
demografischer
Lastenausgleich
(SLA F)</v>
      </c>
      <c r="F8" s="24" t="str">
        <f>DFIE!B61</f>
        <v>Total</v>
      </c>
    </row>
    <row r="9" spans="2:6" x14ac:dyDescent="0.2">
      <c r="B9" s="22" t="str">
        <f>DFIE!$B22</f>
        <v>Zürich</v>
      </c>
      <c r="C9" s="25">
        <f>GLA_2!G9</f>
        <v>0</v>
      </c>
      <c r="D9" s="17">
        <f>SLA_AC_2!O9</f>
        <v>9317804.6998684444</v>
      </c>
      <c r="E9" s="25">
        <f>SLA_F_2!H9</f>
        <v>66163973.414404482</v>
      </c>
      <c r="F9" s="23">
        <f>SUM(C9:E9)</f>
        <v>75481778.114272922</v>
      </c>
    </row>
    <row r="10" spans="2:6" x14ac:dyDescent="0.2">
      <c r="B10" s="18" t="str">
        <f>DFIE!$B23</f>
        <v>Bern</v>
      </c>
      <c r="C10" s="19">
        <f>GLA_2!G10</f>
        <v>28034497.893594824</v>
      </c>
      <c r="D10" s="20">
        <f>SLA_AC_2!O10</f>
        <v>10985028.047368024</v>
      </c>
      <c r="E10" s="19">
        <f>SLA_F_2!H10</f>
        <v>0</v>
      </c>
      <c r="F10" s="21">
        <f t="shared" ref="F10:F34" si="0">SUM(C10:E10)</f>
        <v>39019525.940962851</v>
      </c>
    </row>
    <row r="11" spans="2:6" x14ac:dyDescent="0.2">
      <c r="B11" s="22" t="str">
        <f>DFIE!$B24</f>
        <v>Luzern</v>
      </c>
      <c r="C11" s="25">
        <f>GLA_2!G11</f>
        <v>6067233.5489580659</v>
      </c>
      <c r="D11" s="17">
        <f>SLA_AC_2!O11</f>
        <v>0</v>
      </c>
      <c r="E11" s="25">
        <f>SLA_F_2!H11</f>
        <v>0</v>
      </c>
      <c r="F11" s="23">
        <f t="shared" si="0"/>
        <v>6067233.5489580659</v>
      </c>
    </row>
    <row r="12" spans="2:6" x14ac:dyDescent="0.2">
      <c r="B12" s="18" t="str">
        <f>DFIE!$B25</f>
        <v>Uri</v>
      </c>
      <c r="C12" s="19">
        <f>GLA_2!G12</f>
        <v>11675940.393794857</v>
      </c>
      <c r="D12" s="20">
        <f>SLA_AC_2!O12</f>
        <v>0</v>
      </c>
      <c r="E12" s="19">
        <f>SLA_F_2!H12</f>
        <v>0</v>
      </c>
      <c r="F12" s="21">
        <f t="shared" si="0"/>
        <v>11675940.393794857</v>
      </c>
    </row>
    <row r="13" spans="2:6" x14ac:dyDescent="0.2">
      <c r="B13" s="22" t="str">
        <f>DFIE!$B26</f>
        <v>Schwyz</v>
      </c>
      <c r="C13" s="25">
        <f>GLA_2!G13</f>
        <v>6641623.1161896018</v>
      </c>
      <c r="D13" s="17">
        <f>SLA_AC_2!O13</f>
        <v>0</v>
      </c>
      <c r="E13" s="25">
        <f>SLA_F_2!H13</f>
        <v>0</v>
      </c>
      <c r="F13" s="23">
        <f t="shared" si="0"/>
        <v>6641623.1161896018</v>
      </c>
    </row>
    <row r="14" spans="2:6" x14ac:dyDescent="0.2">
      <c r="B14" s="18" t="str">
        <f>DFIE!$B27</f>
        <v>Obwalden</v>
      </c>
      <c r="C14" s="19">
        <f>GLA_2!G14</f>
        <v>6060618.5506545398</v>
      </c>
      <c r="D14" s="20">
        <f>SLA_AC_2!O14</f>
        <v>0</v>
      </c>
      <c r="E14" s="19">
        <f>SLA_F_2!H14</f>
        <v>0</v>
      </c>
      <c r="F14" s="21">
        <f t="shared" si="0"/>
        <v>6060618.5506545398</v>
      </c>
    </row>
    <row r="15" spans="2:6" x14ac:dyDescent="0.2">
      <c r="B15" s="22" t="str">
        <f>DFIE!$B28</f>
        <v>Nidwalden</v>
      </c>
      <c r="C15" s="25">
        <f>GLA_2!G15</f>
        <v>1279617.4962583603</v>
      </c>
      <c r="D15" s="17">
        <f>SLA_AC_2!O15</f>
        <v>0</v>
      </c>
      <c r="E15" s="25">
        <f>SLA_F_2!H15</f>
        <v>0</v>
      </c>
      <c r="F15" s="23">
        <f t="shared" si="0"/>
        <v>1279617.4962583603</v>
      </c>
    </row>
    <row r="16" spans="2:6" x14ac:dyDescent="0.2">
      <c r="B16" s="18" t="str">
        <f>DFIE!$B29</f>
        <v>Glarus</v>
      </c>
      <c r="C16" s="19">
        <f>GLA_2!G16</f>
        <v>5423927.7493235637</v>
      </c>
      <c r="D16" s="20">
        <f>SLA_AC_2!O16</f>
        <v>0</v>
      </c>
      <c r="E16" s="19">
        <f>SLA_F_2!H16</f>
        <v>0</v>
      </c>
      <c r="F16" s="21">
        <f t="shared" si="0"/>
        <v>5423927.7493235637</v>
      </c>
    </row>
    <row r="17" spans="2:6" x14ac:dyDescent="0.2">
      <c r="B17" s="22" t="str">
        <f>DFIE!$B30</f>
        <v>Zug</v>
      </c>
      <c r="C17" s="25">
        <f>GLA_2!G17</f>
        <v>0</v>
      </c>
      <c r="D17" s="17">
        <f>SLA_AC_2!O17</f>
        <v>0</v>
      </c>
      <c r="E17" s="25">
        <f>SLA_F_2!H17</f>
        <v>0</v>
      </c>
      <c r="F17" s="23">
        <f t="shared" si="0"/>
        <v>0</v>
      </c>
    </row>
    <row r="18" spans="2:6" x14ac:dyDescent="0.2">
      <c r="B18" s="18" t="str">
        <f>DFIE!$B31</f>
        <v>Freiburg</v>
      </c>
      <c r="C18" s="19">
        <f>GLA_2!G18</f>
        <v>8796576.7310490981</v>
      </c>
      <c r="D18" s="20">
        <f>SLA_AC_2!O18</f>
        <v>0</v>
      </c>
      <c r="E18" s="19">
        <f>SLA_F_2!H18</f>
        <v>0</v>
      </c>
      <c r="F18" s="21">
        <f t="shared" si="0"/>
        <v>8796576.7310490981</v>
      </c>
    </row>
    <row r="19" spans="2:6" x14ac:dyDescent="0.2">
      <c r="B19" s="22" t="str">
        <f>DFIE!$B32</f>
        <v>Solothurn</v>
      </c>
      <c r="C19" s="25">
        <f>GLA_2!G19</f>
        <v>0</v>
      </c>
      <c r="D19" s="17">
        <f>SLA_AC_2!O19</f>
        <v>6647582.1415834334</v>
      </c>
      <c r="E19" s="25">
        <f>SLA_F_2!H19</f>
        <v>0</v>
      </c>
      <c r="F19" s="23">
        <f t="shared" si="0"/>
        <v>6647582.1415834334</v>
      </c>
    </row>
    <row r="20" spans="2:6" x14ac:dyDescent="0.2">
      <c r="B20" s="18" t="str">
        <f>DFIE!$B33</f>
        <v>Basel-Stadt</v>
      </c>
      <c r="C20" s="19">
        <f>GLA_2!G20</f>
        <v>0</v>
      </c>
      <c r="D20" s="20">
        <f>SLA_AC_2!O20</f>
        <v>35025790.107131623</v>
      </c>
      <c r="E20" s="19">
        <f>SLA_F_2!H20</f>
        <v>18210576.515296966</v>
      </c>
      <c r="F20" s="21">
        <f t="shared" si="0"/>
        <v>53236366.622428589</v>
      </c>
    </row>
    <row r="21" spans="2:6" x14ac:dyDescent="0.2">
      <c r="B21" s="22" t="str">
        <f>DFIE!$B34</f>
        <v>Basel-Landschaft</v>
      </c>
      <c r="C21" s="25">
        <f>GLA_2!G21</f>
        <v>0</v>
      </c>
      <c r="D21" s="17">
        <f>SLA_AC_2!O21</f>
        <v>725769.110786153</v>
      </c>
      <c r="E21" s="25">
        <f>SLA_F_2!H21</f>
        <v>0</v>
      </c>
      <c r="F21" s="23">
        <f t="shared" si="0"/>
        <v>725769.110786153</v>
      </c>
    </row>
    <row r="22" spans="2:6" x14ac:dyDescent="0.2">
      <c r="B22" s="18" t="str">
        <f>DFIE!$B35</f>
        <v>Schaffhausen</v>
      </c>
      <c r="C22" s="19">
        <f>GLA_2!G22</f>
        <v>0</v>
      </c>
      <c r="D22" s="20">
        <f>SLA_AC_2!O22</f>
        <v>1718527.3038594516</v>
      </c>
      <c r="E22" s="19">
        <f>SLA_F_2!H22</f>
        <v>0</v>
      </c>
      <c r="F22" s="21">
        <f t="shared" si="0"/>
        <v>1718527.3038594516</v>
      </c>
    </row>
    <row r="23" spans="2:6" x14ac:dyDescent="0.2">
      <c r="B23" s="22" t="str">
        <f>DFIE!$B36</f>
        <v>Appenzell A.Rh.</v>
      </c>
      <c r="C23" s="25">
        <f>GLA_2!G23</f>
        <v>19431326.960767813</v>
      </c>
      <c r="D23" s="17">
        <f>SLA_AC_2!O23</f>
        <v>0</v>
      </c>
      <c r="E23" s="25">
        <f>SLA_F_2!H23</f>
        <v>0</v>
      </c>
      <c r="F23" s="23">
        <f t="shared" si="0"/>
        <v>19431326.960767813</v>
      </c>
    </row>
    <row r="24" spans="2:6" x14ac:dyDescent="0.2">
      <c r="B24" s="18" t="str">
        <f>DFIE!$B37</f>
        <v>Appenzell I.Rh.</v>
      </c>
      <c r="C24" s="19">
        <f>GLA_2!G24</f>
        <v>8452471.2777593751</v>
      </c>
      <c r="D24" s="20">
        <f>SLA_AC_2!O24</f>
        <v>0</v>
      </c>
      <c r="E24" s="19">
        <f>SLA_F_2!H24</f>
        <v>0</v>
      </c>
      <c r="F24" s="21">
        <f t="shared" si="0"/>
        <v>8452471.2777593751</v>
      </c>
    </row>
    <row r="25" spans="2:6" x14ac:dyDescent="0.2">
      <c r="B25" s="22" t="str">
        <f>DFIE!$B38</f>
        <v>St. Gallen</v>
      </c>
      <c r="C25" s="25">
        <f>GLA_2!G25</f>
        <v>2065870.8586793852</v>
      </c>
      <c r="D25" s="17">
        <f>SLA_AC_2!O25</f>
        <v>0</v>
      </c>
      <c r="E25" s="25">
        <f>SLA_F_2!H25</f>
        <v>0</v>
      </c>
      <c r="F25" s="23">
        <f t="shared" si="0"/>
        <v>2065870.8586793852</v>
      </c>
    </row>
    <row r="26" spans="2:6" x14ac:dyDescent="0.2">
      <c r="B26" s="18" t="str">
        <f>DFIE!$B39</f>
        <v>Graubünden</v>
      </c>
      <c r="C26" s="19">
        <f>GLA_2!G26</f>
        <v>137661889.99966693</v>
      </c>
      <c r="D26" s="20">
        <f>SLA_AC_2!O26</f>
        <v>0</v>
      </c>
      <c r="E26" s="19">
        <f>SLA_F_2!H26</f>
        <v>0</v>
      </c>
      <c r="F26" s="21">
        <f t="shared" si="0"/>
        <v>137661889.99966693</v>
      </c>
    </row>
    <row r="27" spans="2:6" x14ac:dyDescent="0.2">
      <c r="B27" s="22" t="str">
        <f>DFIE!$B40</f>
        <v>Aargau</v>
      </c>
      <c r="C27" s="25">
        <f>GLA_2!G27</f>
        <v>0</v>
      </c>
      <c r="D27" s="17">
        <f>SLA_AC_2!O27</f>
        <v>0</v>
      </c>
      <c r="E27" s="25">
        <f>SLA_F_2!H27</f>
        <v>0</v>
      </c>
      <c r="F27" s="23">
        <f t="shared" si="0"/>
        <v>0</v>
      </c>
    </row>
    <row r="28" spans="2:6" x14ac:dyDescent="0.2">
      <c r="B28" s="18" t="str">
        <f>DFIE!$B41</f>
        <v>Thurgau</v>
      </c>
      <c r="C28" s="19">
        <f>GLA_2!G28</f>
        <v>3776353.9841479906</v>
      </c>
      <c r="D28" s="20">
        <f>SLA_AC_2!O28</f>
        <v>0</v>
      </c>
      <c r="E28" s="19">
        <f>SLA_F_2!H28</f>
        <v>0</v>
      </c>
      <c r="F28" s="21">
        <f t="shared" si="0"/>
        <v>3776353.9841479906</v>
      </c>
    </row>
    <row r="29" spans="2:6" x14ac:dyDescent="0.2">
      <c r="B29" s="22" t="str">
        <f>DFIE!$B42</f>
        <v>Tessin</v>
      </c>
      <c r="C29" s="25">
        <f>GLA_2!G29</f>
        <v>14337173.937376659</v>
      </c>
      <c r="D29" s="17">
        <f>SLA_AC_2!O29</f>
        <v>16678178.69988445</v>
      </c>
      <c r="E29" s="25">
        <f>SLA_F_2!H29</f>
        <v>0</v>
      </c>
      <c r="F29" s="23">
        <f t="shared" si="0"/>
        <v>31015352.637261108</v>
      </c>
    </row>
    <row r="30" spans="2:6" x14ac:dyDescent="0.2">
      <c r="B30" s="18" t="str">
        <f>DFIE!$B43</f>
        <v>Waadt</v>
      </c>
      <c r="C30" s="19">
        <f>GLA_2!G30</f>
        <v>81410.673064910181</v>
      </c>
      <c r="D30" s="20">
        <f>SLA_AC_2!O30</f>
        <v>68497418.984654024</v>
      </c>
      <c r="E30" s="19">
        <f>SLA_F_2!H30</f>
        <v>3744211.3502242831</v>
      </c>
      <c r="F30" s="21">
        <f t="shared" si="0"/>
        <v>72323041.007943228</v>
      </c>
    </row>
    <row r="31" spans="2:6" x14ac:dyDescent="0.2">
      <c r="B31" s="22" t="str">
        <f>DFIE!$B44</f>
        <v>Wallis</v>
      </c>
      <c r="C31" s="25">
        <f>GLA_2!G31</f>
        <v>73881244.89752987</v>
      </c>
      <c r="D31" s="17">
        <f>SLA_AC_2!O31</f>
        <v>5401005.5405100361</v>
      </c>
      <c r="E31" s="25">
        <f>SLA_F_2!H31</f>
        <v>0</v>
      </c>
      <c r="F31" s="23">
        <f t="shared" si="0"/>
        <v>79282250.438039899</v>
      </c>
    </row>
    <row r="32" spans="2:6" x14ac:dyDescent="0.2">
      <c r="B32" s="18" t="str">
        <f>DFIE!$B45</f>
        <v>Neuenburg</v>
      </c>
      <c r="C32" s="19">
        <f>GLA_2!G32</f>
        <v>23556864.017353788</v>
      </c>
      <c r="D32" s="20">
        <f>SLA_AC_2!O32</f>
        <v>14570723.190192692</v>
      </c>
      <c r="E32" s="19">
        <f>SLA_F_2!H32</f>
        <v>0</v>
      </c>
      <c r="F32" s="21">
        <f t="shared" si="0"/>
        <v>38127587.20754648</v>
      </c>
    </row>
    <row r="33" spans="2:6" x14ac:dyDescent="0.2">
      <c r="B33" s="22" t="str">
        <f>DFIE!$B46</f>
        <v>Genf</v>
      </c>
      <c r="C33" s="25">
        <f>GLA_2!G33</f>
        <v>0</v>
      </c>
      <c r="D33" s="17">
        <f>SLA_AC_2!O33</f>
        <v>71006748.712355971</v>
      </c>
      <c r="E33" s="25">
        <f>SLA_F_2!H33</f>
        <v>32483400.014477994</v>
      </c>
      <c r="F33" s="23">
        <f t="shared" si="0"/>
        <v>103490148.72683397</v>
      </c>
    </row>
    <row r="34" spans="2:6" x14ac:dyDescent="0.2">
      <c r="B34" s="18" t="str">
        <f>DFIE!$B47</f>
        <v>Jura</v>
      </c>
      <c r="C34" s="19">
        <f>GLA_2!G34</f>
        <v>4581841.7970415018</v>
      </c>
      <c r="D34" s="20">
        <f>SLA_AC_2!O34</f>
        <v>629746.05061311659</v>
      </c>
      <c r="E34" s="19">
        <f>SLA_F_2!H34</f>
        <v>0</v>
      </c>
      <c r="F34" s="21">
        <f t="shared" si="0"/>
        <v>5211587.8476546183</v>
      </c>
    </row>
    <row r="35" spans="2:6" x14ac:dyDescent="0.2">
      <c r="B35" s="26" t="str">
        <f>DFIE!$B48</f>
        <v>Schweiz</v>
      </c>
      <c r="C35" s="27">
        <f>SUM(C9:C34)</f>
        <v>361806483.88321108</v>
      </c>
      <c r="D35" s="28">
        <f>SUM(D9:D34)</f>
        <v>241204322.5888074</v>
      </c>
      <c r="E35" s="27">
        <f t="shared" ref="E35:F35" si="1">SUM(E9:E34)</f>
        <v>120602161.29440373</v>
      </c>
      <c r="F35" s="29">
        <f t="shared" si="1"/>
        <v>723612967.76642215</v>
      </c>
    </row>
    <row r="36" spans="2:6" ht="89.25" customHeight="1" x14ac:dyDescent="0.2">
      <c r="B36" s="370" t="str">
        <f>DFIE!B71</f>
        <v>Die Berechnung des Lastenausgleichs wird im Technischen Bericht detailliert beschrieben:
www.efv.admin.ch → Themen  → Finanzausgleich  → Dokumentation</v>
      </c>
      <c r="C36" s="370"/>
      <c r="D36" s="370"/>
      <c r="E36" s="370"/>
      <c r="F36" s="370"/>
    </row>
  </sheetData>
  <mergeCells count="3">
    <mergeCell ref="B2:F2"/>
    <mergeCell ref="B3:F3"/>
    <mergeCell ref="B36:F36"/>
  </mergeCells>
  <conditionalFormatting sqref="D9:F34">
    <cfRule type="expression" dxfId="32" priority="3">
      <formula>#REF!="Nicht optimiert!"</formula>
    </cfRule>
  </conditionalFormatting>
  <conditionalFormatting sqref="B9:B34">
    <cfRule type="expression" dxfId="31" priority="4">
      <formula>SIGN(#REF!-100)&lt;&gt;SIGN($B9-100)</formula>
    </cfRule>
  </conditionalFormatting>
  <conditionalFormatting sqref="C9:C34">
    <cfRule type="expression" dxfId="30" priority="2">
      <formula>#REF!="Nicht optimiert!"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portrait"/>
  <headerFooter scaleWithDoc="0" alignWithMargins="0">
    <oddHeader>&amp;L&amp;F&amp;R&amp;A</oddHead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K12"/>
  <sheetViews>
    <sheetView showGridLines="0" zoomScaleNormal="100" workbookViewId="0">
      <selection activeCell="A87" sqref="A87"/>
    </sheetView>
  </sheetViews>
  <sheetFormatPr baseColWidth="10" defaultColWidth="9.140625" defaultRowHeight="12.75" x14ac:dyDescent="0.2"/>
  <cols>
    <col min="1" max="1" width="1.42578125" customWidth="1"/>
    <col min="2" max="2" width="15.85546875" customWidth="1"/>
    <col min="3" max="3" width="11.7109375" customWidth="1"/>
    <col min="4" max="4" width="7.7109375" customWidth="1"/>
    <col min="5" max="8" width="11.7109375" customWidth="1"/>
    <col min="9" max="10" width="14.5703125" customWidth="1"/>
    <col min="11" max="11" width="20.5703125" customWidth="1"/>
  </cols>
  <sheetData>
    <row r="1" spans="1:11" ht="23.25" customHeight="1" x14ac:dyDescent="0.25">
      <c r="B1" s="45" t="str">
        <f>DFIE!B72</f>
        <v>Fortschreibung der Dotationen im Lastenausgleich 2019</v>
      </c>
      <c r="C1" s="45"/>
      <c r="D1" s="45"/>
      <c r="E1" s="45"/>
      <c r="F1" s="45"/>
      <c r="G1" s="45"/>
      <c r="H1" s="45"/>
      <c r="I1" s="45"/>
      <c r="J1" s="45"/>
      <c r="K1" s="45"/>
    </row>
    <row r="2" spans="1:11" ht="18" customHeight="1" x14ac:dyDescent="0.3">
      <c r="A2" s="36"/>
      <c r="K2" s="34"/>
    </row>
    <row r="3" spans="1:11" ht="43.15" customHeight="1" x14ac:dyDescent="0.2">
      <c r="B3" s="35" t="str">
        <f>DFIE!B73</f>
        <v>in CHF</v>
      </c>
      <c r="C3" s="53"/>
      <c r="D3" s="53"/>
      <c r="E3" s="375" t="str">
        <f>DFIE!B74</f>
        <v>Geografisch-topografischer Lastenausgleich (GLA)</v>
      </c>
      <c r="F3" s="377"/>
      <c r="G3" s="377"/>
      <c r="H3" s="376"/>
      <c r="I3" s="375" t="str">
        <f>DFIE!B75</f>
        <v>Soziodemografischer
Lastenausgleich (SLA)</v>
      </c>
      <c r="J3" s="376"/>
      <c r="K3" s="24" t="str">
        <f>DFIE!B76</f>
        <v>Lastenausgleich
Total</v>
      </c>
    </row>
    <row r="4" spans="1:11" ht="15" customHeight="1" x14ac:dyDescent="0.2">
      <c r="B4" s="48" t="str">
        <f>DFIE!B77</f>
        <v>Dotation 2018</v>
      </c>
      <c r="C4" s="37"/>
      <c r="D4" s="33"/>
      <c r="E4" s="384">
        <v>358935003.85239202</v>
      </c>
      <c r="F4" s="385"/>
      <c r="G4" s="385"/>
      <c r="H4" s="386"/>
      <c r="I4" s="378">
        <v>358935003.85239202</v>
      </c>
      <c r="J4" s="379"/>
      <c r="K4" s="46">
        <f>E4+I4</f>
        <v>717870007.70478404</v>
      </c>
    </row>
    <row r="5" spans="1:11" ht="12.75" customHeight="1" x14ac:dyDescent="0.2">
      <c r="B5" s="38" t="str">
        <f>DFIE!B78</f>
        <v>+ Wachstum (LIK)</v>
      </c>
      <c r="C5" s="39" t="s">
        <v>580</v>
      </c>
      <c r="D5" s="40">
        <v>8.0000000000000002E-3</v>
      </c>
      <c r="E5" s="396">
        <f>E4*D5</f>
        <v>2871480.0308191362</v>
      </c>
      <c r="F5" s="397"/>
      <c r="G5" s="397"/>
      <c r="H5" s="398"/>
      <c r="I5" s="380">
        <f>I4*D5</f>
        <v>2871480.0308191362</v>
      </c>
      <c r="J5" s="381"/>
      <c r="K5" s="41">
        <f>E5+I5</f>
        <v>5742960.0616382724</v>
      </c>
    </row>
    <row r="6" spans="1:11" ht="15" customHeight="1" x14ac:dyDescent="0.2">
      <c r="B6" s="49" t="str">
        <f>DFIE!B79</f>
        <v>Ordentliche Fortschreibung</v>
      </c>
      <c r="C6" s="33"/>
      <c r="D6" s="33"/>
      <c r="E6" s="387">
        <f>E4+E5</f>
        <v>361806483.88321114</v>
      </c>
      <c r="F6" s="388"/>
      <c r="G6" s="388"/>
      <c r="H6" s="389"/>
      <c r="I6" s="382">
        <f>I4+I5</f>
        <v>361806483.88321114</v>
      </c>
      <c r="J6" s="383"/>
      <c r="K6" s="46">
        <f>E6+I6</f>
        <v>723612967.76642227</v>
      </c>
    </row>
    <row r="7" spans="1:11" ht="15" customHeight="1" x14ac:dyDescent="0.2">
      <c r="B7" s="42" t="str">
        <f>DFIE!B80</f>
        <v>+ Anpassung Dotation</v>
      </c>
      <c r="C7" s="43"/>
      <c r="D7" s="43"/>
      <c r="E7" s="390">
        <v>0</v>
      </c>
      <c r="F7" s="391"/>
      <c r="G7" s="391"/>
      <c r="H7" s="392"/>
      <c r="I7" s="371">
        <v>0</v>
      </c>
      <c r="J7" s="372"/>
      <c r="K7" s="44">
        <f>E7+I7</f>
        <v>0</v>
      </c>
    </row>
    <row r="8" spans="1:11" ht="15" customHeight="1" x14ac:dyDescent="0.2">
      <c r="B8" s="50" t="str">
        <f>DFIE!B81</f>
        <v>Dotation 2019</v>
      </c>
      <c r="C8" s="51"/>
      <c r="D8" s="52"/>
      <c r="E8" s="393">
        <f>E6+E7</f>
        <v>361806483.88321114</v>
      </c>
      <c r="F8" s="394"/>
      <c r="G8" s="394"/>
      <c r="H8" s="395"/>
      <c r="I8" s="373">
        <f>I6+I7</f>
        <v>361806483.88321114</v>
      </c>
      <c r="J8" s="374"/>
      <c r="K8" s="57">
        <f>K6+K7</f>
        <v>723612967.76642227</v>
      </c>
    </row>
    <row r="9" spans="1:11" ht="15" customHeight="1" x14ac:dyDescent="0.2">
      <c r="B9" s="32"/>
      <c r="C9" s="32"/>
      <c r="D9" s="32"/>
      <c r="E9" s="32"/>
      <c r="F9" s="32"/>
      <c r="G9" s="32"/>
      <c r="H9" s="32"/>
    </row>
    <row r="10" spans="1:11" ht="15" customHeight="1" x14ac:dyDescent="0.2">
      <c r="B10" s="54" t="str">
        <f>DFIE!B88</f>
        <v>Teilausgleiche</v>
      </c>
      <c r="C10" s="47"/>
      <c r="D10" s="47"/>
      <c r="E10" s="58" t="str">
        <f>DFIE!B82</f>
        <v>GLA 1</v>
      </c>
      <c r="F10" s="59" t="str">
        <f>DFIE!B83</f>
        <v>GLA 2</v>
      </c>
      <c r="G10" s="59" t="str">
        <f>DFIE!B84</f>
        <v>GLA 3</v>
      </c>
      <c r="H10" s="60" t="str">
        <f>DFIE!B85</f>
        <v>GLA 4</v>
      </c>
      <c r="I10" s="58" t="str">
        <f>DFIE!B86</f>
        <v>SLA A-C</v>
      </c>
      <c r="J10" s="60" t="str">
        <f>DFIE!B87</f>
        <v>SLA F</v>
      </c>
      <c r="K10" s="61"/>
    </row>
    <row r="11" spans="1:11" ht="15" customHeight="1" x14ac:dyDescent="0.2">
      <c r="B11" s="66" t="str">
        <f>DFIE!B89</f>
        <v>Anteil</v>
      </c>
      <c r="C11" s="67"/>
      <c r="D11" s="68"/>
      <c r="E11" s="69">
        <f>1/3</f>
        <v>0.33333333333333331</v>
      </c>
      <c r="F11" s="70">
        <f>1/3</f>
        <v>0.33333333333333331</v>
      </c>
      <c r="G11" s="70">
        <f>1/6</f>
        <v>0.16666666666666666</v>
      </c>
      <c r="H11" s="71">
        <f>1/6</f>
        <v>0.16666666666666666</v>
      </c>
      <c r="I11" s="69">
        <f>2/3</f>
        <v>0.66666666666666663</v>
      </c>
      <c r="J11" s="71">
        <f>1-I11</f>
        <v>0.33333333333333337</v>
      </c>
      <c r="K11" s="62"/>
    </row>
    <row r="12" spans="1:11" ht="15" customHeight="1" x14ac:dyDescent="0.2">
      <c r="B12" s="55" t="str">
        <f>DFIE!B81</f>
        <v>Dotation 2019</v>
      </c>
      <c r="C12" s="56"/>
      <c r="D12" s="56"/>
      <c r="E12" s="63">
        <f>$E$8*E11</f>
        <v>120602161.2944037</v>
      </c>
      <c r="F12" s="64">
        <f>$E$8*F11</f>
        <v>120602161.2944037</v>
      </c>
      <c r="G12" s="64">
        <f>$E$8*G11</f>
        <v>60301080.647201851</v>
      </c>
      <c r="H12" s="65">
        <f>$E$8*H11</f>
        <v>60301080.647201851</v>
      </c>
      <c r="I12" s="63">
        <f>I11*I8</f>
        <v>241204322.5888074</v>
      </c>
      <c r="J12" s="65">
        <f>J11*I8</f>
        <v>120602161.29440373</v>
      </c>
      <c r="K12" s="65">
        <f>SUM(E12:J12)</f>
        <v>723612967.76642227</v>
      </c>
    </row>
  </sheetData>
  <mergeCells count="12">
    <mergeCell ref="I7:J7"/>
    <mergeCell ref="I8:J8"/>
    <mergeCell ref="I3:J3"/>
    <mergeCell ref="E3:H3"/>
    <mergeCell ref="I4:J4"/>
    <mergeCell ref="I5:J5"/>
    <mergeCell ref="I6:J6"/>
    <mergeCell ref="E4:H4"/>
    <mergeCell ref="E6:H6"/>
    <mergeCell ref="E7:H7"/>
    <mergeCell ref="E8:H8"/>
    <mergeCell ref="E5:H5"/>
  </mergeCells>
  <conditionalFormatting sqref="I11 E7 E4 I4 I7 C5:D5">
    <cfRule type="expression" dxfId="29" priority="3" stopIfTrue="1">
      <formula>ISBLANK(C4)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P67"/>
  <sheetViews>
    <sheetView showGridLines="0" zoomScaleNormal="100" workbookViewId="0">
      <selection activeCell="A87" sqref="A87"/>
    </sheetView>
  </sheetViews>
  <sheetFormatPr baseColWidth="10" defaultColWidth="9.140625" defaultRowHeight="12.75" x14ac:dyDescent="0.2"/>
  <cols>
    <col min="1" max="1" width="1.42578125" customWidth="1"/>
    <col min="2" max="2" width="16.85546875" customWidth="1"/>
    <col min="3" max="3" width="19.7109375" customWidth="1"/>
    <col min="4" max="4" width="15.7109375" customWidth="1"/>
    <col min="5" max="6" width="13.7109375" customWidth="1"/>
    <col min="7" max="7" width="14.7109375" customWidth="1"/>
    <col min="8" max="8" width="19.7109375" customWidth="1"/>
    <col min="9" max="9" width="10" customWidth="1"/>
    <col min="10" max="10" width="16.85546875" customWidth="1"/>
    <col min="11" max="12" width="17.7109375" customWidth="1"/>
    <col min="13" max="14" width="13.7109375" customWidth="1"/>
    <col min="15" max="15" width="14.7109375" customWidth="1"/>
    <col min="16" max="16" width="19.7109375" customWidth="1"/>
  </cols>
  <sheetData>
    <row r="1" spans="1:16" ht="36" customHeight="1" x14ac:dyDescent="0.35">
      <c r="A1" s="72"/>
      <c r="B1" s="108" t="str">
        <f>DFIE!B90</f>
        <v>GLA 1 (Siedlungshöhe)</v>
      </c>
      <c r="C1" s="79"/>
      <c r="D1" s="79"/>
      <c r="E1" s="31"/>
      <c r="F1" s="31"/>
      <c r="G1" s="31"/>
      <c r="H1" s="95" t="str">
        <f>DFIE!B91</f>
        <v>Indikator = Anteil der Wohnbevölkerung mit einer Wohnhöhe von über 800 m</v>
      </c>
      <c r="J1" s="108" t="str">
        <f>DFIE!B92</f>
        <v>GLA 2 (Steilheit des Geländes)</v>
      </c>
      <c r="K1" s="79"/>
      <c r="L1" s="79"/>
      <c r="M1" s="79"/>
      <c r="O1" s="81"/>
      <c r="P1" s="95" t="str">
        <f>DFIE!B93</f>
        <v>Indikator = Mittlere Höhe der produktiven Fläche</v>
      </c>
    </row>
    <row r="2" spans="1:16" ht="12" customHeight="1" x14ac:dyDescent="0.2">
      <c r="A2" s="72"/>
      <c r="B2" s="75" t="str">
        <f>DFIE!$B$49</f>
        <v>Spalte</v>
      </c>
      <c r="C2" s="77" t="s">
        <v>49</v>
      </c>
      <c r="D2" s="76" t="s">
        <v>50</v>
      </c>
      <c r="E2" s="76" t="s">
        <v>58</v>
      </c>
      <c r="F2" s="76" t="s">
        <v>52</v>
      </c>
      <c r="G2" s="76" t="s">
        <v>53</v>
      </c>
      <c r="H2" s="78" t="s">
        <v>54</v>
      </c>
      <c r="J2" s="75" t="str">
        <f>DFIE!$B$49</f>
        <v>Spalte</v>
      </c>
      <c r="K2" s="77" t="s">
        <v>55</v>
      </c>
      <c r="L2" s="76" t="s">
        <v>56</v>
      </c>
      <c r="M2" s="76" t="s">
        <v>57</v>
      </c>
      <c r="N2" s="76" t="s">
        <v>67</v>
      </c>
      <c r="O2" s="76" t="s">
        <v>68</v>
      </c>
      <c r="P2" s="78" t="s">
        <v>99</v>
      </c>
    </row>
    <row r="3" spans="1:16" ht="12" customHeight="1" x14ac:dyDescent="0.2">
      <c r="A3" s="72"/>
      <c r="B3" s="75" t="str">
        <f>DFIE!$B$50</f>
        <v>Formel</v>
      </c>
      <c r="C3" s="91"/>
      <c r="D3" s="90"/>
      <c r="E3" s="90" t="s">
        <v>94</v>
      </c>
      <c r="F3" s="90" t="str">
        <f>DFIE!$B$111</f>
        <v>E / E[Schweiz]</v>
      </c>
      <c r="G3" s="90" t="s">
        <v>96</v>
      </c>
      <c r="H3" s="92" t="str">
        <f>DFIE!$B$112</f>
        <v>G / G[Schweiz] * Dotation</v>
      </c>
      <c r="J3" s="75" t="str">
        <f>DFIE!$B$50</f>
        <v>Formel</v>
      </c>
      <c r="K3" s="91"/>
      <c r="L3" s="90"/>
      <c r="M3" s="90" t="s">
        <v>56</v>
      </c>
      <c r="N3" s="90" t="str">
        <f>DFIE!$B$113</f>
        <v>M / M[Schweiz]</v>
      </c>
      <c r="O3" s="90" t="s">
        <v>101</v>
      </c>
      <c r="P3" s="92" t="str">
        <f>DFIE!$B$114</f>
        <v>O / O[Schweiz] * Dotation</v>
      </c>
    </row>
    <row r="4" spans="1:16" ht="42" customHeight="1" x14ac:dyDescent="0.2">
      <c r="B4" s="122"/>
      <c r="C4" s="118" t="str">
        <f>DFIE!B98</f>
        <v>Ständige Wohnbev.
mit einer Wohnhöhe
von über 800 m.ü.M.</v>
      </c>
      <c r="D4" s="118" t="str">
        <f>DFIE!$B$99</f>
        <v>Ständige Wohn-
bevölkerung</v>
      </c>
      <c r="E4" s="121" t="str">
        <f>DFIE!$B$100</f>
        <v>Indikator</v>
      </c>
      <c r="F4" s="118" t="str">
        <f>DFIE!$B$101</f>
        <v>Lastenindex</v>
      </c>
      <c r="G4" s="118" t="str">
        <f>DFIE!$B$102</f>
        <v>Massgebende
Sonderlasten</v>
      </c>
      <c r="H4" s="125" t="str">
        <f>DFIE!B103</f>
        <v>Auszahlung
GLA 1</v>
      </c>
      <c r="J4" s="122"/>
      <c r="K4" s="118" t="str">
        <f>DFIE!B104</f>
        <v>Produktive
Fläche</v>
      </c>
      <c r="L4" s="118" t="str">
        <f>DFIE!B105</f>
        <v>Höhenmedian
produktive Fläche</v>
      </c>
      <c r="M4" s="121" t="str">
        <f>DFIE!$B$100</f>
        <v>Indikator</v>
      </c>
      <c r="N4" s="118" t="str">
        <f>DFIE!$B$101</f>
        <v>Lastenindex</v>
      </c>
      <c r="O4" s="118" t="str">
        <f>DFIE!$B$102</f>
        <v>Massgebende
Sonderlasten</v>
      </c>
      <c r="P4" s="125" t="str">
        <f>DFIE!B106</f>
        <v>Auszahlung
GLA 2</v>
      </c>
    </row>
    <row r="5" spans="1:16" ht="12.75" customHeight="1" x14ac:dyDescent="0.2">
      <c r="A5" s="126"/>
      <c r="B5" s="96" t="str">
        <f>DFIE!$B$51</f>
        <v>Erhebungsjahr</v>
      </c>
      <c r="C5" s="93">
        <v>2016</v>
      </c>
      <c r="D5" s="93">
        <v>2016</v>
      </c>
      <c r="E5" s="99"/>
      <c r="F5" s="99"/>
      <c r="G5" s="100"/>
      <c r="H5" s="101"/>
      <c r="J5" s="96" t="str">
        <f>DFIE!$B$51</f>
        <v>Erhebungsjahr</v>
      </c>
      <c r="K5" s="93">
        <v>2016</v>
      </c>
      <c r="L5" s="93">
        <v>2016</v>
      </c>
      <c r="M5" s="99"/>
      <c r="N5" s="99"/>
      <c r="O5" s="100"/>
      <c r="P5" s="102"/>
    </row>
    <row r="6" spans="1:16" ht="12.75" customHeight="1" x14ac:dyDescent="0.2">
      <c r="A6" s="126"/>
      <c r="B6" s="96" t="str">
        <f>DFIE!$B$52</f>
        <v>Einheit</v>
      </c>
      <c r="C6" s="80" t="str">
        <f>DFIE!$B$56</f>
        <v>Anzahl</v>
      </c>
      <c r="D6" s="73" t="str">
        <f>DFIE!$B$56</f>
        <v>Anzahl</v>
      </c>
      <c r="E6" s="73" t="str">
        <f>DFIE!$B$58</f>
        <v>Prozent</v>
      </c>
      <c r="F6" s="73" t="str">
        <f>DFIE!$B$57</f>
        <v>Punkte</v>
      </c>
      <c r="G6" s="74"/>
      <c r="H6" s="98" t="str">
        <f>DFIE!$B$54</f>
        <v>CHF</v>
      </c>
      <c r="J6" s="96" t="str">
        <f>DFIE!$B$52</f>
        <v>Einheit</v>
      </c>
      <c r="K6" s="80" t="str">
        <f>DFIE!$B$59</f>
        <v>Hektaren</v>
      </c>
      <c r="L6" s="73" t="str">
        <f>DFIE!$B$60</f>
        <v>Meter ü. M.</v>
      </c>
      <c r="M6" s="73" t="str">
        <f>DFIE!$B$60</f>
        <v>Meter ü. M.</v>
      </c>
      <c r="N6" s="73" t="str">
        <f>DFIE!$B$57</f>
        <v>Punkte</v>
      </c>
      <c r="O6" s="74"/>
      <c r="P6" s="98" t="str">
        <f>DFIE!$B$54</f>
        <v>CHF</v>
      </c>
    </row>
    <row r="7" spans="1:16" x14ac:dyDescent="0.2">
      <c r="A7" s="97"/>
      <c r="B7" s="123" t="str">
        <f>DFIE!$B22</f>
        <v>Zürich</v>
      </c>
      <c r="C7" s="82">
        <v>2096</v>
      </c>
      <c r="D7" s="82">
        <v>1487969</v>
      </c>
      <c r="E7" s="103">
        <f t="shared" ref="E7:E33" si="0">C7/D7</f>
        <v>1.4086314970271558E-3</v>
      </c>
      <c r="F7" s="105">
        <f t="shared" ref="F7:F33" si="1">ROUND(E7/E$33*100,1)</f>
        <v>2</v>
      </c>
      <c r="G7" s="84">
        <f>MAX((F7-100)*C7,0)</f>
        <v>0</v>
      </c>
      <c r="H7" s="85">
        <f>G7/G$33*DOT!$E$12</f>
        <v>0</v>
      </c>
      <c r="J7" s="123" t="str">
        <f>DFIE!$B22</f>
        <v>Zürich</v>
      </c>
      <c r="K7" s="82">
        <v>162282</v>
      </c>
      <c r="L7" s="82">
        <v>511</v>
      </c>
      <c r="M7" s="89">
        <f>L7</f>
        <v>511</v>
      </c>
      <c r="N7" s="105">
        <f t="shared" ref="N7:N33" si="2">ROUND(L7/L$33*100,1)</f>
        <v>59.7</v>
      </c>
      <c r="O7" s="84">
        <f>MAX((N7-100)*K7,0)</f>
        <v>0</v>
      </c>
      <c r="P7" s="85">
        <f>O7/O$33*DOT!$F$12</f>
        <v>0</v>
      </c>
    </row>
    <row r="8" spans="1:16" x14ac:dyDescent="0.2">
      <c r="A8" s="97"/>
      <c r="B8" s="109" t="str">
        <f>DFIE!$B23</f>
        <v>Bern</v>
      </c>
      <c r="C8" s="110">
        <v>93324</v>
      </c>
      <c r="D8" s="110">
        <v>1026513</v>
      </c>
      <c r="E8" s="111">
        <f t="shared" si="0"/>
        <v>9.0913607523723516E-2</v>
      </c>
      <c r="F8" s="112">
        <f t="shared" si="1"/>
        <v>127.3</v>
      </c>
      <c r="G8" s="113">
        <f t="shared" ref="G8:G32" si="3">MAX((F8-100)*C8,0)</f>
        <v>2547745.1999999997</v>
      </c>
      <c r="H8" s="114">
        <f>G8/G$33*DOT!$E$12</f>
        <v>1910618.169850454</v>
      </c>
      <c r="J8" s="109" t="str">
        <f>DFIE!$B23</f>
        <v>Bern</v>
      </c>
      <c r="K8" s="110">
        <v>482783</v>
      </c>
      <c r="L8" s="110">
        <v>873</v>
      </c>
      <c r="M8" s="115">
        <f t="shared" ref="M8:M33" si="4">L8</f>
        <v>873</v>
      </c>
      <c r="N8" s="112">
        <f t="shared" si="2"/>
        <v>102</v>
      </c>
      <c r="O8" s="113">
        <f t="shared" ref="O8:O32" si="5">MAX((N8-100)*K8,0)</f>
        <v>965566</v>
      </c>
      <c r="P8" s="114">
        <f>O8/O$33*DOT!$F$12</f>
        <v>1347132.5793861637</v>
      </c>
    </row>
    <row r="9" spans="1:16" x14ac:dyDescent="0.2">
      <c r="A9" s="97"/>
      <c r="B9" s="123" t="str">
        <f>DFIE!$B24</f>
        <v>Luzern</v>
      </c>
      <c r="C9" s="82">
        <v>12553</v>
      </c>
      <c r="D9" s="82">
        <v>403397</v>
      </c>
      <c r="E9" s="103">
        <f t="shared" si="0"/>
        <v>3.1118228444931419E-2</v>
      </c>
      <c r="F9" s="105">
        <f t="shared" si="1"/>
        <v>43.6</v>
      </c>
      <c r="G9" s="84">
        <f t="shared" si="3"/>
        <v>0</v>
      </c>
      <c r="H9" s="85">
        <f>G9/G$33*DOT!$E$12</f>
        <v>0</v>
      </c>
      <c r="J9" s="123" t="str">
        <f>DFIE!$B24</f>
        <v>Luzern</v>
      </c>
      <c r="K9" s="82">
        <v>139084</v>
      </c>
      <c r="L9" s="82">
        <v>689</v>
      </c>
      <c r="M9" s="89">
        <f t="shared" si="4"/>
        <v>689</v>
      </c>
      <c r="N9" s="105">
        <f t="shared" si="2"/>
        <v>80.5</v>
      </c>
      <c r="O9" s="84">
        <f t="shared" si="5"/>
        <v>0</v>
      </c>
      <c r="P9" s="85">
        <f>O9/O$33*DOT!$F$12</f>
        <v>0</v>
      </c>
    </row>
    <row r="10" spans="1:16" x14ac:dyDescent="0.2">
      <c r="A10" s="97"/>
      <c r="B10" s="109" t="str">
        <f>DFIE!$B25</f>
        <v>Uri</v>
      </c>
      <c r="C10" s="110">
        <v>5751</v>
      </c>
      <c r="D10" s="110">
        <v>36145</v>
      </c>
      <c r="E10" s="111">
        <f t="shared" si="0"/>
        <v>0.15910914372665652</v>
      </c>
      <c r="F10" s="112">
        <f t="shared" si="1"/>
        <v>222.8</v>
      </c>
      <c r="G10" s="113">
        <f t="shared" si="3"/>
        <v>706222.8</v>
      </c>
      <c r="H10" s="114">
        <f>G10/G$33*DOT!$E$12</f>
        <v>529614.23051357875</v>
      </c>
      <c r="J10" s="109" t="str">
        <f>DFIE!$B25</f>
        <v>Uri</v>
      </c>
      <c r="K10" s="110">
        <v>49656</v>
      </c>
      <c r="L10" s="110">
        <v>1559</v>
      </c>
      <c r="M10" s="115">
        <f t="shared" si="4"/>
        <v>1559</v>
      </c>
      <c r="N10" s="112">
        <f t="shared" si="2"/>
        <v>182.1</v>
      </c>
      <c r="O10" s="113">
        <f t="shared" si="5"/>
        <v>4076757.5999999996</v>
      </c>
      <c r="P10" s="114">
        <f>O10/O$33*DOT!$F$12</f>
        <v>5687786.2116314638</v>
      </c>
    </row>
    <row r="11" spans="1:16" x14ac:dyDescent="0.2">
      <c r="A11" s="97"/>
      <c r="B11" s="123" t="str">
        <f>DFIE!$B26</f>
        <v>Schwyz</v>
      </c>
      <c r="C11" s="82">
        <v>25184</v>
      </c>
      <c r="D11" s="82">
        <v>155863</v>
      </c>
      <c r="E11" s="103">
        <f t="shared" si="0"/>
        <v>0.16157779588484758</v>
      </c>
      <c r="F11" s="105">
        <f t="shared" si="1"/>
        <v>226.3</v>
      </c>
      <c r="G11" s="84">
        <f t="shared" si="3"/>
        <v>3180739.2</v>
      </c>
      <c r="H11" s="85">
        <f>G11/G$33*DOT!$E$12</f>
        <v>2385316.2824428435</v>
      </c>
      <c r="J11" s="123" t="str">
        <f>DFIE!$B26</f>
        <v>Schwyz</v>
      </c>
      <c r="K11" s="82">
        <v>72947</v>
      </c>
      <c r="L11" s="82">
        <v>1031</v>
      </c>
      <c r="M11" s="89">
        <f t="shared" si="4"/>
        <v>1031</v>
      </c>
      <c r="N11" s="105">
        <f t="shared" si="2"/>
        <v>120.4</v>
      </c>
      <c r="O11" s="84">
        <f t="shared" si="5"/>
        <v>1488118.8000000005</v>
      </c>
      <c r="P11" s="85">
        <f>O11/O$33*DOT!$F$12</f>
        <v>2076184.6600616048</v>
      </c>
    </row>
    <row r="12" spans="1:16" x14ac:dyDescent="0.2">
      <c r="A12" s="97"/>
      <c r="B12" s="109" t="str">
        <f>DFIE!$B27</f>
        <v>Obwalden</v>
      </c>
      <c r="C12" s="110">
        <v>5665</v>
      </c>
      <c r="D12" s="110">
        <v>37378</v>
      </c>
      <c r="E12" s="111">
        <f t="shared" si="0"/>
        <v>0.15155974102413183</v>
      </c>
      <c r="F12" s="112">
        <f t="shared" si="1"/>
        <v>212.2</v>
      </c>
      <c r="G12" s="113">
        <f t="shared" si="3"/>
        <v>635612.99999999988</v>
      </c>
      <c r="H12" s="114">
        <f>G12/G$33*DOT!$E$12</f>
        <v>476662.16652793874</v>
      </c>
      <c r="J12" s="109" t="str">
        <f>DFIE!$B27</f>
        <v>Obwalden</v>
      </c>
      <c r="K12" s="110">
        <v>40031</v>
      </c>
      <c r="L12" s="110">
        <v>1294</v>
      </c>
      <c r="M12" s="115">
        <f t="shared" si="4"/>
        <v>1294</v>
      </c>
      <c r="N12" s="112">
        <f t="shared" si="2"/>
        <v>151.19999999999999</v>
      </c>
      <c r="O12" s="113">
        <f t="shared" si="5"/>
        <v>2049587.1999999995</v>
      </c>
      <c r="P12" s="114">
        <f>O12/O$33*DOT!$F$12</f>
        <v>2859530.7740878039</v>
      </c>
    </row>
    <row r="13" spans="1:16" x14ac:dyDescent="0.2">
      <c r="A13" s="97"/>
      <c r="B13" s="123" t="str">
        <f>DFIE!$B28</f>
        <v>Nidwalden</v>
      </c>
      <c r="C13" s="82">
        <v>961</v>
      </c>
      <c r="D13" s="82">
        <v>42556</v>
      </c>
      <c r="E13" s="103">
        <f t="shared" si="0"/>
        <v>2.2582009587367235E-2</v>
      </c>
      <c r="F13" s="105">
        <f t="shared" si="1"/>
        <v>31.6</v>
      </c>
      <c r="G13" s="84">
        <f t="shared" si="3"/>
        <v>0</v>
      </c>
      <c r="H13" s="85">
        <f>G13/G$33*DOT!$E$12</f>
        <v>0</v>
      </c>
      <c r="J13" s="123" t="str">
        <f>DFIE!$B28</f>
        <v>Nidwalden</v>
      </c>
      <c r="K13" s="82">
        <v>20901</v>
      </c>
      <c r="L13" s="82">
        <v>1012</v>
      </c>
      <c r="M13" s="89">
        <f t="shared" si="4"/>
        <v>1012</v>
      </c>
      <c r="N13" s="105">
        <f t="shared" si="2"/>
        <v>118.2</v>
      </c>
      <c r="O13" s="84">
        <f t="shared" si="5"/>
        <v>380398.20000000007</v>
      </c>
      <c r="P13" s="85">
        <f>O13/O$33*DOT!$F$12</f>
        <v>530721.6786422201</v>
      </c>
    </row>
    <row r="14" spans="1:16" x14ac:dyDescent="0.2">
      <c r="A14" s="97"/>
      <c r="B14" s="109" t="str">
        <f>DFIE!$B29</f>
        <v>Glarus</v>
      </c>
      <c r="C14" s="110">
        <v>2086</v>
      </c>
      <c r="D14" s="110">
        <v>40147</v>
      </c>
      <c r="E14" s="111">
        <f t="shared" si="0"/>
        <v>5.1959050489451264E-2</v>
      </c>
      <c r="F14" s="112">
        <f t="shared" si="1"/>
        <v>72.8</v>
      </c>
      <c r="G14" s="113">
        <f t="shared" si="3"/>
        <v>0</v>
      </c>
      <c r="H14" s="114">
        <f>G14/G$33*DOT!$E$12</f>
        <v>0</v>
      </c>
      <c r="J14" s="109" t="str">
        <f>DFIE!$B29</f>
        <v>Glarus</v>
      </c>
      <c r="K14" s="110">
        <v>43716</v>
      </c>
      <c r="L14" s="110">
        <v>1320</v>
      </c>
      <c r="M14" s="115">
        <f t="shared" si="4"/>
        <v>1320</v>
      </c>
      <c r="N14" s="112">
        <f t="shared" si="2"/>
        <v>154.19999999999999</v>
      </c>
      <c r="O14" s="113">
        <f t="shared" si="5"/>
        <v>2369407.1999999997</v>
      </c>
      <c r="P14" s="114">
        <f>O14/O$33*DOT!$F$12</f>
        <v>3305735.3230666239</v>
      </c>
    </row>
    <row r="15" spans="1:16" x14ac:dyDescent="0.2">
      <c r="A15" s="97"/>
      <c r="B15" s="123" t="str">
        <f>DFIE!$B30</f>
        <v>Zug</v>
      </c>
      <c r="C15" s="82">
        <v>5007</v>
      </c>
      <c r="D15" s="82">
        <v>123948</v>
      </c>
      <c r="E15" s="103">
        <f t="shared" si="0"/>
        <v>4.0395972504598705E-2</v>
      </c>
      <c r="F15" s="105">
        <f t="shared" si="1"/>
        <v>56.6</v>
      </c>
      <c r="G15" s="84">
        <f t="shared" si="3"/>
        <v>0</v>
      </c>
      <c r="H15" s="85">
        <f>G15/G$33*DOT!$E$12</f>
        <v>0</v>
      </c>
      <c r="J15" s="123" t="str">
        <f>DFIE!$B30</f>
        <v>Zug</v>
      </c>
      <c r="K15" s="82">
        <v>20201</v>
      </c>
      <c r="L15" s="82">
        <v>692</v>
      </c>
      <c r="M15" s="89">
        <f t="shared" si="4"/>
        <v>692</v>
      </c>
      <c r="N15" s="105">
        <f t="shared" si="2"/>
        <v>80.8</v>
      </c>
      <c r="O15" s="84">
        <f t="shared" si="5"/>
        <v>0</v>
      </c>
      <c r="P15" s="85">
        <f>O15/O$33*DOT!$F$12</f>
        <v>0</v>
      </c>
    </row>
    <row r="16" spans="1:16" x14ac:dyDescent="0.2">
      <c r="A16" s="97"/>
      <c r="B16" s="109" t="str">
        <f>DFIE!$B31</f>
        <v>Freiburg</v>
      </c>
      <c r="C16" s="110">
        <v>36908</v>
      </c>
      <c r="D16" s="110">
        <v>311914</v>
      </c>
      <c r="E16" s="111">
        <f t="shared" si="0"/>
        <v>0.11832748770494431</v>
      </c>
      <c r="F16" s="112">
        <f t="shared" si="1"/>
        <v>165.7</v>
      </c>
      <c r="G16" s="113">
        <f t="shared" si="3"/>
        <v>2424855.5999999996</v>
      </c>
      <c r="H16" s="114">
        <f>G16/G$33*DOT!$E$12</f>
        <v>1818460.1696526108</v>
      </c>
      <c r="J16" s="109" t="str">
        <f>DFIE!$B31</f>
        <v>Freiburg</v>
      </c>
      <c r="K16" s="110">
        <v>153265</v>
      </c>
      <c r="L16" s="110">
        <v>759</v>
      </c>
      <c r="M16" s="115">
        <f t="shared" si="4"/>
        <v>759</v>
      </c>
      <c r="N16" s="112">
        <f t="shared" si="2"/>
        <v>88.7</v>
      </c>
      <c r="O16" s="113">
        <f t="shared" si="5"/>
        <v>0</v>
      </c>
      <c r="P16" s="114">
        <f>O16/O$33*DOT!$F$12</f>
        <v>0</v>
      </c>
    </row>
    <row r="17" spans="1:16" x14ac:dyDescent="0.2">
      <c r="A17" s="97"/>
      <c r="B17" s="123" t="str">
        <f>DFIE!$B32</f>
        <v>Solothurn</v>
      </c>
      <c r="C17" s="82">
        <v>439</v>
      </c>
      <c r="D17" s="82">
        <v>269441</v>
      </c>
      <c r="E17" s="103">
        <f t="shared" si="0"/>
        <v>1.6292991786699129E-3</v>
      </c>
      <c r="F17" s="105">
        <f t="shared" si="1"/>
        <v>2.2999999999999998</v>
      </c>
      <c r="G17" s="84">
        <f t="shared" si="3"/>
        <v>0</v>
      </c>
      <c r="H17" s="85">
        <f>G17/G$33*DOT!$E$12</f>
        <v>0</v>
      </c>
      <c r="J17" s="123" t="str">
        <f>DFIE!$B32</f>
        <v>Solothurn</v>
      </c>
      <c r="K17" s="82">
        <v>78185</v>
      </c>
      <c r="L17" s="82">
        <v>552</v>
      </c>
      <c r="M17" s="89">
        <f t="shared" si="4"/>
        <v>552</v>
      </c>
      <c r="N17" s="105">
        <f t="shared" si="2"/>
        <v>64.5</v>
      </c>
      <c r="O17" s="84">
        <f t="shared" si="5"/>
        <v>0</v>
      </c>
      <c r="P17" s="85">
        <f>O17/O$33*DOT!$F$12</f>
        <v>0</v>
      </c>
    </row>
    <row r="18" spans="1:16" x14ac:dyDescent="0.2">
      <c r="A18" s="97"/>
      <c r="B18" s="109" t="str">
        <f>DFIE!$B33</f>
        <v>Basel-Stadt</v>
      </c>
      <c r="C18" s="110">
        <v>0</v>
      </c>
      <c r="D18" s="110">
        <v>193070</v>
      </c>
      <c r="E18" s="111">
        <f t="shared" si="0"/>
        <v>0</v>
      </c>
      <c r="F18" s="112">
        <f t="shared" si="1"/>
        <v>0</v>
      </c>
      <c r="G18" s="113">
        <f t="shared" si="3"/>
        <v>0</v>
      </c>
      <c r="H18" s="114">
        <f>G18/G$33*DOT!$E$12</f>
        <v>0</v>
      </c>
      <c r="J18" s="109" t="str">
        <f>DFIE!$B33</f>
        <v>Basel-Stadt</v>
      </c>
      <c r="K18" s="110">
        <v>3532</v>
      </c>
      <c r="L18" s="110">
        <v>274</v>
      </c>
      <c r="M18" s="115">
        <f t="shared" si="4"/>
        <v>274</v>
      </c>
      <c r="N18" s="112">
        <f t="shared" si="2"/>
        <v>32</v>
      </c>
      <c r="O18" s="113">
        <f t="shared" si="5"/>
        <v>0</v>
      </c>
      <c r="P18" s="114">
        <f>O18/O$33*DOT!$F$12</f>
        <v>0</v>
      </c>
    </row>
    <row r="19" spans="1:16" ht="12.75" customHeight="1" x14ac:dyDescent="0.2">
      <c r="A19" s="97"/>
      <c r="B19" s="123" t="str">
        <f>DFIE!$B34</f>
        <v>Basel-Landschaft</v>
      </c>
      <c r="C19" s="82">
        <v>137</v>
      </c>
      <c r="D19" s="82">
        <v>285624</v>
      </c>
      <c r="E19" s="103">
        <f t="shared" si="0"/>
        <v>4.7965156989608718E-4</v>
      </c>
      <c r="F19" s="105">
        <f t="shared" si="1"/>
        <v>0.7</v>
      </c>
      <c r="G19" s="84">
        <f t="shared" si="3"/>
        <v>0</v>
      </c>
      <c r="H19" s="85">
        <f>G19/G$33*DOT!$E$12</f>
        <v>0</v>
      </c>
      <c r="J19" s="123" t="str">
        <f>DFIE!$B34</f>
        <v>Basel-Landschaft</v>
      </c>
      <c r="K19" s="82">
        <v>51378</v>
      </c>
      <c r="L19" s="82">
        <v>507</v>
      </c>
      <c r="M19" s="89">
        <f t="shared" si="4"/>
        <v>507</v>
      </c>
      <c r="N19" s="105">
        <f t="shared" si="2"/>
        <v>59.2</v>
      </c>
      <c r="O19" s="84">
        <f t="shared" si="5"/>
        <v>0</v>
      </c>
      <c r="P19" s="85">
        <f>O19/O$33*DOT!$F$12</f>
        <v>0</v>
      </c>
    </row>
    <row r="20" spans="1:16" x14ac:dyDescent="0.2">
      <c r="A20" s="97"/>
      <c r="B20" s="109" t="str">
        <f>DFIE!$B35</f>
        <v>Schaffhausen</v>
      </c>
      <c r="C20" s="110">
        <v>12</v>
      </c>
      <c r="D20" s="110">
        <v>80769</v>
      </c>
      <c r="E20" s="111">
        <f t="shared" si="0"/>
        <v>1.4857185306243732E-4</v>
      </c>
      <c r="F20" s="112">
        <f t="shared" si="1"/>
        <v>0.2</v>
      </c>
      <c r="G20" s="113">
        <f t="shared" si="3"/>
        <v>0</v>
      </c>
      <c r="H20" s="114">
        <f>G20/G$33*DOT!$E$12</f>
        <v>0</v>
      </c>
      <c r="J20" s="109" t="str">
        <f>DFIE!$B35</f>
        <v>Schaffhausen</v>
      </c>
      <c r="K20" s="110">
        <v>29444</v>
      </c>
      <c r="L20" s="110">
        <v>516</v>
      </c>
      <c r="M20" s="115">
        <f t="shared" si="4"/>
        <v>516</v>
      </c>
      <c r="N20" s="112">
        <f t="shared" si="2"/>
        <v>60.3</v>
      </c>
      <c r="O20" s="113">
        <f t="shared" si="5"/>
        <v>0</v>
      </c>
      <c r="P20" s="114">
        <f>O20/O$33*DOT!$F$12</f>
        <v>0</v>
      </c>
    </row>
    <row r="21" spans="1:16" ht="12.75" customHeight="1" x14ac:dyDescent="0.2">
      <c r="A21" s="97"/>
      <c r="B21" s="123" t="str">
        <f>DFIE!$B36</f>
        <v>Appenzell A.Rh.</v>
      </c>
      <c r="C21" s="82">
        <v>31988</v>
      </c>
      <c r="D21" s="82">
        <v>54954</v>
      </c>
      <c r="E21" s="103">
        <f t="shared" si="0"/>
        <v>0.58208683626305635</v>
      </c>
      <c r="F21" s="105">
        <f t="shared" si="1"/>
        <v>815.1</v>
      </c>
      <c r="G21" s="84">
        <f t="shared" si="3"/>
        <v>22874618.800000001</v>
      </c>
      <c r="H21" s="85">
        <f>G21/G$33*DOT!$E$12</f>
        <v>17154251.65267029</v>
      </c>
      <c r="J21" s="123" t="str">
        <f>DFIE!$B36</f>
        <v>Appenzell A.Rh.</v>
      </c>
      <c r="K21" s="82">
        <v>23922</v>
      </c>
      <c r="L21" s="82">
        <v>906</v>
      </c>
      <c r="M21" s="89">
        <f t="shared" si="4"/>
        <v>906</v>
      </c>
      <c r="N21" s="105">
        <f t="shared" si="2"/>
        <v>105.8</v>
      </c>
      <c r="O21" s="84">
        <f t="shared" si="5"/>
        <v>138747.59999999992</v>
      </c>
      <c r="P21" s="85">
        <f>O21/O$33*DOT!$F$12</f>
        <v>193577.04421203688</v>
      </c>
    </row>
    <row r="22" spans="1:16" x14ac:dyDescent="0.2">
      <c r="A22" s="97"/>
      <c r="B22" s="109" t="str">
        <f>DFIE!$B37</f>
        <v>Appenzell I.Rh.</v>
      </c>
      <c r="C22" s="110">
        <v>9354</v>
      </c>
      <c r="D22" s="110">
        <v>16003</v>
      </c>
      <c r="E22" s="111">
        <f t="shared" si="0"/>
        <v>0.58451540336186969</v>
      </c>
      <c r="F22" s="112">
        <f t="shared" si="1"/>
        <v>818.5</v>
      </c>
      <c r="G22" s="113">
        <f t="shared" si="3"/>
        <v>6720849</v>
      </c>
      <c r="H22" s="114">
        <f>G22/G$33*DOT!$E$12</f>
        <v>5040133.6115641613</v>
      </c>
      <c r="J22" s="109" t="str">
        <f>DFIE!$B37</f>
        <v>Appenzell I.Rh.</v>
      </c>
      <c r="K22" s="110">
        <v>15582</v>
      </c>
      <c r="L22" s="110">
        <v>1003</v>
      </c>
      <c r="M22" s="115">
        <f t="shared" si="4"/>
        <v>1003</v>
      </c>
      <c r="N22" s="112">
        <f t="shared" si="2"/>
        <v>117.2</v>
      </c>
      <c r="O22" s="113">
        <f t="shared" si="5"/>
        <v>268010.40000000002</v>
      </c>
      <c r="P22" s="114">
        <f>O22/O$33*DOT!$F$12</f>
        <v>373921.14206001203</v>
      </c>
    </row>
    <row r="23" spans="1:16" x14ac:dyDescent="0.2">
      <c r="A23" s="97"/>
      <c r="B23" s="123" t="str">
        <f>DFIE!$B38</f>
        <v>St. Gallen</v>
      </c>
      <c r="C23" s="82">
        <v>21265</v>
      </c>
      <c r="D23" s="82">
        <v>502552</v>
      </c>
      <c r="E23" s="103">
        <f t="shared" si="0"/>
        <v>4.2314029194988778E-2</v>
      </c>
      <c r="F23" s="105">
        <f t="shared" si="1"/>
        <v>59.3</v>
      </c>
      <c r="G23" s="84">
        <f t="shared" si="3"/>
        <v>0</v>
      </c>
      <c r="H23" s="85">
        <f>G23/G$33*DOT!$E$12</f>
        <v>0</v>
      </c>
      <c r="J23" s="123" t="str">
        <f>DFIE!$B38</f>
        <v>St. Gallen</v>
      </c>
      <c r="K23" s="82">
        <v>175766</v>
      </c>
      <c r="L23" s="82">
        <v>790</v>
      </c>
      <c r="M23" s="89">
        <f t="shared" si="4"/>
        <v>790</v>
      </c>
      <c r="N23" s="105">
        <f t="shared" si="2"/>
        <v>92.3</v>
      </c>
      <c r="O23" s="84">
        <f t="shared" si="5"/>
        <v>0</v>
      </c>
      <c r="P23" s="85">
        <f>O23/O$33*DOT!$F$12</f>
        <v>0</v>
      </c>
    </row>
    <row r="24" spans="1:16" x14ac:dyDescent="0.2">
      <c r="A24" s="97"/>
      <c r="B24" s="109" t="str">
        <f>DFIE!$B39</f>
        <v>Graubünden</v>
      </c>
      <c r="C24" s="110">
        <v>93865</v>
      </c>
      <c r="D24" s="110">
        <v>197550</v>
      </c>
      <c r="E24" s="111">
        <f t="shared" si="0"/>
        <v>0.47514553277651228</v>
      </c>
      <c r="F24" s="112">
        <f t="shared" si="1"/>
        <v>665.3</v>
      </c>
      <c r="G24" s="113">
        <f t="shared" si="3"/>
        <v>53061884.499999993</v>
      </c>
      <c r="H24" s="114">
        <f>G24/G$33*DOT!$E$12</f>
        <v>39792441.038533278</v>
      </c>
      <c r="J24" s="109" t="str">
        <f>DFIE!$B39</f>
        <v>Graubünden</v>
      </c>
      <c r="K24" s="110">
        <v>414605</v>
      </c>
      <c r="L24" s="110">
        <v>1787</v>
      </c>
      <c r="M24" s="115">
        <f t="shared" si="4"/>
        <v>1787</v>
      </c>
      <c r="N24" s="112">
        <f t="shared" si="2"/>
        <v>208.8</v>
      </c>
      <c r="O24" s="113">
        <f t="shared" si="5"/>
        <v>45109024.000000007</v>
      </c>
      <c r="P24" s="114">
        <f>O24/O$33*DOT!$F$12</f>
        <v>62934937.492323026</v>
      </c>
    </row>
    <row r="25" spans="1:16" x14ac:dyDescent="0.2">
      <c r="A25" s="97"/>
      <c r="B25" s="123" t="str">
        <f>DFIE!$B40</f>
        <v>Aargau</v>
      </c>
      <c r="C25" s="82">
        <v>29</v>
      </c>
      <c r="D25" s="82">
        <v>663462</v>
      </c>
      <c r="E25" s="103">
        <f t="shared" si="0"/>
        <v>4.3710114520500044E-5</v>
      </c>
      <c r="F25" s="105">
        <f t="shared" si="1"/>
        <v>0.1</v>
      </c>
      <c r="G25" s="84">
        <f t="shared" si="3"/>
        <v>0</v>
      </c>
      <c r="H25" s="85">
        <f>G25/G$33*DOT!$E$12</f>
        <v>0</v>
      </c>
      <c r="J25" s="123" t="str">
        <f>DFIE!$B40</f>
        <v>Aargau</v>
      </c>
      <c r="K25" s="82">
        <v>136778</v>
      </c>
      <c r="L25" s="82">
        <v>466</v>
      </c>
      <c r="M25" s="89">
        <f t="shared" si="4"/>
        <v>466</v>
      </c>
      <c r="N25" s="105">
        <f t="shared" si="2"/>
        <v>54.4</v>
      </c>
      <c r="O25" s="84">
        <f t="shared" si="5"/>
        <v>0</v>
      </c>
      <c r="P25" s="85">
        <f>O25/O$33*DOT!$F$12</f>
        <v>0</v>
      </c>
    </row>
    <row r="26" spans="1:16" x14ac:dyDescent="0.2">
      <c r="A26" s="97"/>
      <c r="B26" s="109" t="str">
        <f>DFIE!$B41</f>
        <v>Thurgau</v>
      </c>
      <c r="C26" s="110">
        <v>112</v>
      </c>
      <c r="D26" s="110">
        <v>270709</v>
      </c>
      <c r="E26" s="111">
        <f t="shared" si="0"/>
        <v>4.1372839469688854E-4</v>
      </c>
      <c r="F26" s="112">
        <f t="shared" si="1"/>
        <v>0.6</v>
      </c>
      <c r="G26" s="113">
        <f t="shared" si="3"/>
        <v>0</v>
      </c>
      <c r="H26" s="114">
        <f>G26/G$33*DOT!$E$12</f>
        <v>0</v>
      </c>
      <c r="J26" s="109" t="str">
        <f>DFIE!$B41</f>
        <v>Thurgau</v>
      </c>
      <c r="K26" s="110">
        <v>84876</v>
      </c>
      <c r="L26" s="110">
        <v>502</v>
      </c>
      <c r="M26" s="115">
        <f t="shared" si="4"/>
        <v>502</v>
      </c>
      <c r="N26" s="112">
        <f t="shared" si="2"/>
        <v>58.6</v>
      </c>
      <c r="O26" s="113">
        <f t="shared" si="5"/>
        <v>0</v>
      </c>
      <c r="P26" s="114">
        <f>O26/O$33*DOT!$F$12</f>
        <v>0</v>
      </c>
    </row>
    <row r="27" spans="1:16" x14ac:dyDescent="0.2">
      <c r="A27" s="97"/>
      <c r="B27" s="123" t="str">
        <f>DFIE!$B42</f>
        <v>Tessin</v>
      </c>
      <c r="C27" s="82">
        <v>9589</v>
      </c>
      <c r="D27" s="82">
        <v>354375</v>
      </c>
      <c r="E27" s="103">
        <f t="shared" si="0"/>
        <v>2.7058906525573193E-2</v>
      </c>
      <c r="F27" s="105">
        <f t="shared" si="1"/>
        <v>37.9</v>
      </c>
      <c r="G27" s="84">
        <f t="shared" si="3"/>
        <v>0</v>
      </c>
      <c r="H27" s="85">
        <f>G27/G$33*DOT!$E$12</f>
        <v>0</v>
      </c>
      <c r="J27" s="123" t="str">
        <f>DFIE!$B42</f>
        <v>Tessin</v>
      </c>
      <c r="K27" s="82">
        <v>194864</v>
      </c>
      <c r="L27" s="82">
        <v>1165</v>
      </c>
      <c r="M27" s="89">
        <f t="shared" si="4"/>
        <v>1165</v>
      </c>
      <c r="N27" s="105">
        <f t="shared" si="2"/>
        <v>136.1</v>
      </c>
      <c r="O27" s="84">
        <f t="shared" si="5"/>
        <v>7034590.3999999985</v>
      </c>
      <c r="P27" s="85">
        <f>O27/O$33*DOT!$F$12</f>
        <v>9814477.6333022751</v>
      </c>
    </row>
    <row r="28" spans="1:16" x14ac:dyDescent="0.2">
      <c r="A28" s="97"/>
      <c r="B28" s="109" t="str">
        <f>DFIE!$B43</f>
        <v>Waadt</v>
      </c>
      <c r="C28" s="110">
        <v>57136</v>
      </c>
      <c r="D28" s="110">
        <v>784822</v>
      </c>
      <c r="E28" s="111">
        <f t="shared" si="0"/>
        <v>7.2801221168621671E-2</v>
      </c>
      <c r="F28" s="112">
        <f t="shared" si="1"/>
        <v>101.9</v>
      </c>
      <c r="G28" s="113">
        <f t="shared" si="3"/>
        <v>108558.40000000033</v>
      </c>
      <c r="H28" s="114">
        <f>G28/G$33*DOT!$E$12</f>
        <v>81410.673064910181</v>
      </c>
      <c r="J28" s="109" t="str">
        <f>DFIE!$B43</f>
        <v>Waadt</v>
      </c>
      <c r="K28" s="110">
        <v>269613</v>
      </c>
      <c r="L28" s="110">
        <v>723</v>
      </c>
      <c r="M28" s="115">
        <f t="shared" si="4"/>
        <v>723</v>
      </c>
      <c r="N28" s="112">
        <f t="shared" si="2"/>
        <v>84.5</v>
      </c>
      <c r="O28" s="113">
        <f t="shared" si="5"/>
        <v>0</v>
      </c>
      <c r="P28" s="114">
        <f>O28/O$33*DOT!$F$12</f>
        <v>0</v>
      </c>
    </row>
    <row r="29" spans="1:16" x14ac:dyDescent="0.2">
      <c r="A29" s="97"/>
      <c r="B29" s="123" t="str">
        <f>DFIE!$B44</f>
        <v>Wallis</v>
      </c>
      <c r="C29" s="82">
        <v>109724</v>
      </c>
      <c r="D29" s="82">
        <v>339176</v>
      </c>
      <c r="E29" s="103">
        <f t="shared" si="0"/>
        <v>0.32350166285350379</v>
      </c>
      <c r="F29" s="105">
        <f t="shared" si="1"/>
        <v>453</v>
      </c>
      <c r="G29" s="84">
        <f t="shared" si="3"/>
        <v>38732572</v>
      </c>
      <c r="H29" s="85">
        <f>G29/G$33*DOT!$E$12</f>
        <v>29046529.389297232</v>
      </c>
      <c r="J29" s="123" t="str">
        <f>DFIE!$B44</f>
        <v>Wallis</v>
      </c>
      <c r="K29" s="82">
        <v>242937</v>
      </c>
      <c r="L29" s="82">
        <v>1598</v>
      </c>
      <c r="M29" s="89">
        <f t="shared" si="4"/>
        <v>1598</v>
      </c>
      <c r="N29" s="105">
        <f t="shared" si="2"/>
        <v>186.7</v>
      </c>
      <c r="O29" s="84">
        <f t="shared" si="5"/>
        <v>21062637.899999999</v>
      </c>
      <c r="P29" s="85">
        <f>O29/O$33*DOT!$F$12</f>
        <v>29386044.789174192</v>
      </c>
    </row>
    <row r="30" spans="1:16" x14ac:dyDescent="0.2">
      <c r="A30" s="97"/>
      <c r="B30" s="109" t="str">
        <f>DFIE!$B45</f>
        <v>Neuenburg</v>
      </c>
      <c r="C30" s="110">
        <v>67126</v>
      </c>
      <c r="D30" s="110">
        <v>178567</v>
      </c>
      <c r="E30" s="111">
        <f t="shared" si="0"/>
        <v>0.3759149226900827</v>
      </c>
      <c r="F30" s="112">
        <f t="shared" si="1"/>
        <v>526.4</v>
      </c>
      <c r="G30" s="113">
        <f t="shared" si="3"/>
        <v>28622526.399999999</v>
      </c>
      <c r="H30" s="114">
        <f>G30/G$33*DOT!$E$12</f>
        <v>21464752.05089752</v>
      </c>
      <c r="J30" s="109" t="str">
        <f>DFIE!$B45</f>
        <v>Neuenburg</v>
      </c>
      <c r="K30" s="110">
        <v>71068</v>
      </c>
      <c r="L30" s="110">
        <v>1037</v>
      </c>
      <c r="M30" s="115">
        <f t="shared" si="4"/>
        <v>1037</v>
      </c>
      <c r="N30" s="112">
        <f t="shared" si="2"/>
        <v>121.1</v>
      </c>
      <c r="O30" s="113">
        <f t="shared" si="5"/>
        <v>1499534.7999999996</v>
      </c>
      <c r="P30" s="114">
        <f>O30/O$33*DOT!$F$12</f>
        <v>2092111.9664562696</v>
      </c>
    </row>
    <row r="31" spans="1:16" x14ac:dyDescent="0.2">
      <c r="A31" s="97"/>
      <c r="B31" s="123" t="str">
        <f>DFIE!$B46</f>
        <v>Genf</v>
      </c>
      <c r="C31" s="82">
        <v>0</v>
      </c>
      <c r="D31" s="82">
        <v>489524</v>
      </c>
      <c r="E31" s="103">
        <f t="shared" si="0"/>
        <v>0</v>
      </c>
      <c r="F31" s="105">
        <f t="shared" si="1"/>
        <v>0</v>
      </c>
      <c r="G31" s="84">
        <f t="shared" si="3"/>
        <v>0</v>
      </c>
      <c r="H31" s="85">
        <f>G31/G$33*DOT!$E$12</f>
        <v>0</v>
      </c>
      <c r="J31" s="123" t="str">
        <f>DFIE!$B46</f>
        <v>Genf</v>
      </c>
      <c r="K31" s="82">
        <v>24018</v>
      </c>
      <c r="L31" s="82">
        <v>426</v>
      </c>
      <c r="M31" s="89">
        <f t="shared" si="4"/>
        <v>426</v>
      </c>
      <c r="N31" s="105">
        <f t="shared" si="2"/>
        <v>49.8</v>
      </c>
      <c r="O31" s="84">
        <f t="shared" si="5"/>
        <v>0</v>
      </c>
      <c r="P31" s="85">
        <f>O31/O$33*DOT!$F$12</f>
        <v>0</v>
      </c>
    </row>
    <row r="32" spans="1:16" x14ac:dyDescent="0.2">
      <c r="A32" s="97"/>
      <c r="B32" s="109" t="str">
        <f>DFIE!$B47</f>
        <v>Jura</v>
      </c>
      <c r="C32" s="110">
        <v>10954</v>
      </c>
      <c r="D32" s="110">
        <v>73122</v>
      </c>
      <c r="E32" s="111">
        <f t="shared" si="0"/>
        <v>0.14980443642132327</v>
      </c>
      <c r="F32" s="112">
        <f t="shared" si="1"/>
        <v>209.8</v>
      </c>
      <c r="G32" s="113">
        <f t="shared" si="3"/>
        <v>1202749.2000000002</v>
      </c>
      <c r="H32" s="114">
        <f>G32/G$33*DOT!$E$12</f>
        <v>901971.85938888171</v>
      </c>
      <c r="J32" s="109" t="str">
        <f>DFIE!$B47</f>
        <v>Jura</v>
      </c>
      <c r="K32" s="110">
        <v>83217</v>
      </c>
      <c r="L32" s="110">
        <v>641</v>
      </c>
      <c r="M32" s="115">
        <f t="shared" si="4"/>
        <v>641</v>
      </c>
      <c r="N32" s="112">
        <f t="shared" si="2"/>
        <v>74.900000000000006</v>
      </c>
      <c r="O32" s="113">
        <f t="shared" si="5"/>
        <v>0</v>
      </c>
      <c r="P32" s="114">
        <f>O32/O$33*DOT!$F$12</f>
        <v>0</v>
      </c>
    </row>
    <row r="33" spans="1:16" ht="13.5" customHeight="1" x14ac:dyDescent="0.2">
      <c r="B33" s="124" t="str">
        <f>DFIE!$B48</f>
        <v>Schweiz</v>
      </c>
      <c r="C33" s="83">
        <f>SUM(C7:C32)</f>
        <v>601265</v>
      </c>
      <c r="D33" s="83">
        <f>SUM(D7:D32)</f>
        <v>8419550</v>
      </c>
      <c r="E33" s="104">
        <f t="shared" si="0"/>
        <v>7.1412961500317715E-2</v>
      </c>
      <c r="F33" s="106">
        <f t="shared" si="1"/>
        <v>100</v>
      </c>
      <c r="G33" s="83">
        <f>SUM(G7:G32)</f>
        <v>160818934.09999999</v>
      </c>
      <c r="H33" s="86">
        <f>SUM(H7:H32)</f>
        <v>120602161.29440372</v>
      </c>
      <c r="J33" s="124" t="str">
        <f>DFIE!$B48</f>
        <v>Schweiz</v>
      </c>
      <c r="K33" s="83">
        <f>SUM(K7:K32)</f>
        <v>3084651</v>
      </c>
      <c r="L33" s="87">
        <v>856</v>
      </c>
      <c r="M33" s="64">
        <f t="shared" si="4"/>
        <v>856</v>
      </c>
      <c r="N33" s="106">
        <f t="shared" si="2"/>
        <v>100</v>
      </c>
      <c r="O33" s="83">
        <f>SUM(O7:O32)</f>
        <v>86442380.100000009</v>
      </c>
      <c r="P33" s="86">
        <f>SUM(P7:P32)</f>
        <v>120602161.29440367</v>
      </c>
    </row>
    <row r="34" spans="1:16" ht="21" customHeight="1" x14ac:dyDescent="0.2"/>
    <row r="35" spans="1:16" ht="36" customHeight="1" x14ac:dyDescent="0.35">
      <c r="B35" s="107" t="str">
        <f>DFIE!B94</f>
        <v>GLA 3 (Siedlungsstruktur)</v>
      </c>
      <c r="C35" s="117"/>
      <c r="D35" s="119"/>
      <c r="E35" s="119"/>
      <c r="H35" s="95" t="str">
        <f>DFIE!B95</f>
        <v>Indikator = Anteil der Wohnbevölkerung in Siedlungen mit weniger als 200 Einwohnern</v>
      </c>
      <c r="J35" s="107" t="str">
        <f>DFIE!B96</f>
        <v>GLA 4 (Geringe Bevölkerungsdichte)</v>
      </c>
      <c r="K35" s="117"/>
      <c r="L35" s="120"/>
      <c r="M35" s="31"/>
      <c r="N35" s="31"/>
      <c r="O35" s="31"/>
      <c r="P35" s="95" t="str">
        <f>DFIE!B97</f>
        <v>Indikator = Hektaren pro Einwohner</v>
      </c>
    </row>
    <row r="36" spans="1:16" ht="12" customHeight="1" x14ac:dyDescent="0.2">
      <c r="A36" s="72"/>
      <c r="B36" s="75" t="str">
        <f>DFIE!$B$49</f>
        <v>Spalte</v>
      </c>
      <c r="C36" s="77" t="s">
        <v>49</v>
      </c>
      <c r="D36" s="76" t="s">
        <v>50</v>
      </c>
      <c r="E36" s="76" t="s">
        <v>58</v>
      </c>
      <c r="F36" s="76" t="s">
        <v>52</v>
      </c>
      <c r="G36" s="76" t="s">
        <v>53</v>
      </c>
      <c r="H36" s="78" t="s">
        <v>54</v>
      </c>
      <c r="J36" s="75" t="str">
        <f>DFIE!$B$49</f>
        <v>Spalte</v>
      </c>
      <c r="K36" s="77" t="s">
        <v>55</v>
      </c>
      <c r="L36" s="76" t="s">
        <v>56</v>
      </c>
      <c r="M36" s="76" t="s">
        <v>57</v>
      </c>
      <c r="N36" s="76" t="s">
        <v>67</v>
      </c>
      <c r="O36" s="76" t="s">
        <v>68</v>
      </c>
      <c r="P36" s="78" t="s">
        <v>99</v>
      </c>
    </row>
    <row r="37" spans="1:16" ht="12" customHeight="1" x14ac:dyDescent="0.2">
      <c r="A37" s="72"/>
      <c r="B37" s="75" t="str">
        <f>DFIE!$B$50</f>
        <v>Formel</v>
      </c>
      <c r="C37" s="91"/>
      <c r="D37" s="90"/>
      <c r="E37" s="90" t="s">
        <v>94</v>
      </c>
      <c r="F37" s="90" t="str">
        <f>DFIE!$B$111</f>
        <v>E / E[Schweiz]</v>
      </c>
      <c r="G37" s="90" t="s">
        <v>96</v>
      </c>
      <c r="H37" s="92" t="str">
        <f>DFIE!$B$112</f>
        <v>G / G[Schweiz] * Dotation</v>
      </c>
      <c r="J37" s="75" t="str">
        <f>DFIE!$B$50</f>
        <v>Formel</v>
      </c>
      <c r="K37" s="91"/>
      <c r="L37" s="90"/>
      <c r="M37" s="90" t="s">
        <v>107</v>
      </c>
      <c r="N37" s="90" t="str">
        <f>DFIE!$B$113</f>
        <v>M / M[Schweiz]</v>
      </c>
      <c r="O37" s="90" t="s">
        <v>101</v>
      </c>
      <c r="P37" s="92" t="str">
        <f>DFIE!$B$114</f>
        <v>O / O[Schweiz] * Dotation</v>
      </c>
    </row>
    <row r="38" spans="1:16" ht="54" customHeight="1" x14ac:dyDescent="0.2">
      <c r="B38" s="122"/>
      <c r="C38" s="118" t="str">
        <f>DFIE!B107</f>
        <v>Ständige Wohnbev.
in Siedlungen mit
weniger als 200 Einw.</v>
      </c>
      <c r="D38" s="118" t="str">
        <f>DFIE!$B$99</f>
        <v>Ständige Wohn-
bevölkerung</v>
      </c>
      <c r="E38" s="121" t="str">
        <f>DFIE!$B$100</f>
        <v>Indikator</v>
      </c>
      <c r="F38" s="118" t="str">
        <f>DFIE!$B$101</f>
        <v>Lastenindex</v>
      </c>
      <c r="G38" s="118" t="str">
        <f>DFIE!$B$102</f>
        <v>Massgebende
Sonderlasten</v>
      </c>
      <c r="H38" s="125" t="str">
        <f>DFIE!B108</f>
        <v>Auszahlung
GLA 3</v>
      </c>
      <c r="J38" s="122"/>
      <c r="K38" s="118" t="str">
        <f>DFIE!B109</f>
        <v>Fläche</v>
      </c>
      <c r="L38" s="118" t="str">
        <f>DFIE!$B$99</f>
        <v>Ständige Wohn-
bevölkerung</v>
      </c>
      <c r="M38" s="121" t="str">
        <f>DFIE!$B$100</f>
        <v>Indikator</v>
      </c>
      <c r="N38" s="118" t="str">
        <f>DFIE!$B$101</f>
        <v>Lastenindex</v>
      </c>
      <c r="O38" s="118" t="str">
        <f>DFIE!$B$102</f>
        <v>Massgebende
Sonderlasten</v>
      </c>
      <c r="P38" s="125" t="str">
        <f>DFIE!B110</f>
        <v>Auszahlung
GLA 4</v>
      </c>
    </row>
    <row r="39" spans="1:16" ht="12.75" customHeight="1" x14ac:dyDescent="0.2">
      <c r="A39" s="126"/>
      <c r="B39" s="96" t="str">
        <f>DFIE!$B$51</f>
        <v>Erhebungsjahr</v>
      </c>
      <c r="C39" s="93">
        <v>2016</v>
      </c>
      <c r="D39" s="94">
        <f>D5</f>
        <v>2016</v>
      </c>
      <c r="E39" s="99"/>
      <c r="F39" s="99"/>
      <c r="G39" s="100"/>
      <c r="H39" s="102"/>
      <c r="J39" s="96" t="str">
        <f>DFIE!$B$51</f>
        <v>Erhebungsjahr</v>
      </c>
      <c r="K39" s="93">
        <v>2016</v>
      </c>
      <c r="L39" s="94">
        <f>D5</f>
        <v>2016</v>
      </c>
      <c r="M39" s="99"/>
      <c r="N39" s="99"/>
      <c r="O39" s="100"/>
      <c r="P39" s="102"/>
    </row>
    <row r="40" spans="1:16" ht="12.75" customHeight="1" x14ac:dyDescent="0.2">
      <c r="A40" s="126"/>
      <c r="B40" s="96" t="str">
        <f>DFIE!$B$52</f>
        <v>Einheit</v>
      </c>
      <c r="C40" s="80" t="str">
        <f>DFIE!$B$56</f>
        <v>Anzahl</v>
      </c>
      <c r="D40" s="73" t="str">
        <f>DFIE!$B$56</f>
        <v>Anzahl</v>
      </c>
      <c r="E40" s="73" t="str">
        <f>DFIE!$B$58</f>
        <v>Prozent</v>
      </c>
      <c r="F40" s="73" t="str">
        <f>DFIE!$B$57</f>
        <v>Punkte</v>
      </c>
      <c r="G40" s="74"/>
      <c r="H40" s="98" t="str">
        <f>DFIE!$B$54</f>
        <v>CHF</v>
      </c>
      <c r="J40" s="96" t="str">
        <f>DFIE!$B$52</f>
        <v>Einheit</v>
      </c>
      <c r="K40" s="80" t="str">
        <f>DFIE!$B$59</f>
        <v>Hektaren</v>
      </c>
      <c r="L40" s="73" t="str">
        <f>DFIE!$B$56</f>
        <v>Anzahl</v>
      </c>
      <c r="M40" s="73" t="str">
        <f>DFIE!$B$58</f>
        <v>Prozent</v>
      </c>
      <c r="N40" s="73" t="str">
        <f>DFIE!$B$57</f>
        <v>Punkte</v>
      </c>
      <c r="O40" s="74"/>
      <c r="P40" s="98" t="str">
        <f>DFIE!$B$54</f>
        <v>CHF</v>
      </c>
    </row>
    <row r="41" spans="1:16" x14ac:dyDescent="0.2">
      <c r="B41" s="123" t="str">
        <f>DFIE!$B22</f>
        <v>Zürich</v>
      </c>
      <c r="C41" s="82">
        <v>37260</v>
      </c>
      <c r="D41" s="84">
        <f t="shared" ref="D41:D66" si="6">D7</f>
        <v>1487969</v>
      </c>
      <c r="E41" s="103">
        <f>C41/D41</f>
        <v>2.5040844264900681E-2</v>
      </c>
      <c r="F41" s="105">
        <f>ROUND(E41/E$67*100,1)</f>
        <v>45.3</v>
      </c>
      <c r="G41" s="84">
        <f>MAX((F41-100)*C41,0)</f>
        <v>0</v>
      </c>
      <c r="H41" s="85">
        <f>G41/G$67*DOT!$G$12</f>
        <v>0</v>
      </c>
      <c r="J41" s="123" t="str">
        <f>DFIE!$B22</f>
        <v>Zürich</v>
      </c>
      <c r="K41" s="82">
        <v>172894</v>
      </c>
      <c r="L41" s="88">
        <f t="shared" ref="L41:L66" si="7">D7</f>
        <v>1487969</v>
      </c>
      <c r="M41" s="103">
        <f t="shared" ref="M41:M67" si="8">K41/L41</f>
        <v>0.1161946250224299</v>
      </c>
      <c r="N41" s="105">
        <f>ROUND(M41/M$67*100,1)</f>
        <v>23.7</v>
      </c>
      <c r="O41" s="84">
        <f>MAX((N41-100)*L41,0)</f>
        <v>0</v>
      </c>
      <c r="P41" s="85">
        <f>O41/O$67*DOT!$H$12</f>
        <v>0</v>
      </c>
    </row>
    <row r="42" spans="1:16" x14ac:dyDescent="0.2">
      <c r="B42" s="109" t="str">
        <f>DFIE!$B23</f>
        <v>Bern</v>
      </c>
      <c r="C42" s="110">
        <v>100537</v>
      </c>
      <c r="D42" s="113">
        <f t="shared" si="6"/>
        <v>1026513</v>
      </c>
      <c r="E42" s="111">
        <f t="shared" ref="E42:E67" si="9">C42/D42</f>
        <v>9.7940308598137585E-2</v>
      </c>
      <c r="F42" s="112">
        <f t="shared" ref="F42:F66" si="10">ROUND(E42/E$67*100,1)</f>
        <v>177.3</v>
      </c>
      <c r="G42" s="113">
        <f t="shared" ref="G42:G66" si="11">MAX((F42-100)*C42,0)</f>
        <v>7771510.1000000015</v>
      </c>
      <c r="H42" s="114">
        <f>G42/G$67*DOT!$G$12</f>
        <v>20876176.46729029</v>
      </c>
      <c r="J42" s="109" t="str">
        <f>DFIE!$B23</f>
        <v>Bern</v>
      </c>
      <c r="K42" s="110">
        <v>595952</v>
      </c>
      <c r="L42" s="116">
        <f t="shared" si="7"/>
        <v>1026513</v>
      </c>
      <c r="M42" s="111">
        <f t="shared" si="8"/>
        <v>0.58055962272275163</v>
      </c>
      <c r="N42" s="112">
        <f t="shared" ref="N42:N66" si="12">ROUND(M42/M$67*100,1)</f>
        <v>118.4</v>
      </c>
      <c r="O42" s="113">
        <f t="shared" ref="O42:O66" si="13">MAX((N42-100)*L42,0)</f>
        <v>18887839.200000007</v>
      </c>
      <c r="P42" s="114">
        <f>O42/O$67*DOT!$H$12</f>
        <v>3900570.6770679168</v>
      </c>
    </row>
    <row r="43" spans="1:16" x14ac:dyDescent="0.2">
      <c r="B43" s="123" t="str">
        <f>DFIE!$B24</f>
        <v>Luzern</v>
      </c>
      <c r="C43" s="82">
        <v>36196</v>
      </c>
      <c r="D43" s="84">
        <f t="shared" si="6"/>
        <v>403397</v>
      </c>
      <c r="E43" s="103">
        <f t="shared" si="9"/>
        <v>8.9727985086651613E-2</v>
      </c>
      <c r="F43" s="105">
        <f t="shared" si="10"/>
        <v>162.4</v>
      </c>
      <c r="G43" s="84">
        <f t="shared" si="11"/>
        <v>2258630.4000000004</v>
      </c>
      <c r="H43" s="85">
        <f>G43/G$67*DOT!$G$12</f>
        <v>6067233.5489580659</v>
      </c>
      <c r="J43" s="123" t="str">
        <f>DFIE!$B24</f>
        <v>Luzern</v>
      </c>
      <c r="K43" s="82">
        <v>149352</v>
      </c>
      <c r="L43" s="88">
        <f t="shared" si="7"/>
        <v>403397</v>
      </c>
      <c r="M43" s="103">
        <f t="shared" si="8"/>
        <v>0.37023577270034236</v>
      </c>
      <c r="N43" s="105">
        <f t="shared" si="12"/>
        <v>75.5</v>
      </c>
      <c r="O43" s="84">
        <f t="shared" si="13"/>
        <v>0</v>
      </c>
      <c r="P43" s="85">
        <f>O43/O$67*DOT!$H$12</f>
        <v>0</v>
      </c>
    </row>
    <row r="44" spans="1:16" x14ac:dyDescent="0.2">
      <c r="B44" s="109" t="str">
        <f>DFIE!$B25</f>
        <v>Uri</v>
      </c>
      <c r="C44" s="110">
        <v>4662</v>
      </c>
      <c r="D44" s="113">
        <f t="shared" si="6"/>
        <v>36145</v>
      </c>
      <c r="E44" s="111">
        <f t="shared" si="9"/>
        <v>0.12898049522755567</v>
      </c>
      <c r="F44" s="112">
        <f t="shared" si="10"/>
        <v>233.5</v>
      </c>
      <c r="G44" s="113">
        <f t="shared" si="11"/>
        <v>622377</v>
      </c>
      <c r="H44" s="114">
        <f>G44/G$67*DOT!$G$12</f>
        <v>1671856.8095514316</v>
      </c>
      <c r="J44" s="109" t="str">
        <f>DFIE!$B25</f>
        <v>Uri</v>
      </c>
      <c r="K44" s="110">
        <v>107654</v>
      </c>
      <c r="L44" s="116">
        <f t="shared" si="7"/>
        <v>36145</v>
      </c>
      <c r="M44" s="111">
        <f t="shared" si="8"/>
        <v>2.978392585419837</v>
      </c>
      <c r="N44" s="112">
        <f t="shared" si="12"/>
        <v>607.29999999999995</v>
      </c>
      <c r="O44" s="113">
        <f t="shared" si="13"/>
        <v>18336358.5</v>
      </c>
      <c r="P44" s="114">
        <f>O44/O$67*DOT!$H$12</f>
        <v>3786683.142098384</v>
      </c>
    </row>
    <row r="45" spans="1:16" x14ac:dyDescent="0.2">
      <c r="B45" s="123" t="str">
        <f>DFIE!$B26</f>
        <v>Schwyz</v>
      </c>
      <c r="C45" s="82">
        <v>12609</v>
      </c>
      <c r="D45" s="84">
        <f t="shared" si="6"/>
        <v>155863</v>
      </c>
      <c r="E45" s="103">
        <f t="shared" si="9"/>
        <v>8.0897968087358774E-2</v>
      </c>
      <c r="F45" s="105">
        <f t="shared" si="10"/>
        <v>146.5</v>
      </c>
      <c r="G45" s="84">
        <f t="shared" si="11"/>
        <v>586318.5</v>
      </c>
      <c r="H45" s="85">
        <f>G45/G$67*DOT!$G$12</f>
        <v>1574994.8612994712</v>
      </c>
      <c r="J45" s="123" t="str">
        <f>DFIE!$B26</f>
        <v>Schwyz</v>
      </c>
      <c r="K45" s="82">
        <v>90788</v>
      </c>
      <c r="L45" s="88">
        <f t="shared" si="7"/>
        <v>155863</v>
      </c>
      <c r="M45" s="103">
        <f t="shared" si="8"/>
        <v>0.58248590107979448</v>
      </c>
      <c r="N45" s="105">
        <f t="shared" si="12"/>
        <v>118.8</v>
      </c>
      <c r="O45" s="84">
        <f t="shared" si="13"/>
        <v>2930224.3999999994</v>
      </c>
      <c r="P45" s="85">
        <f>O45/O$67*DOT!$H$12</f>
        <v>605127.31238568178</v>
      </c>
    </row>
    <row r="46" spans="1:16" x14ac:dyDescent="0.2">
      <c r="B46" s="109" t="str">
        <f>DFIE!$B27</f>
        <v>Obwalden</v>
      </c>
      <c r="C46" s="110">
        <v>4506</v>
      </c>
      <c r="D46" s="113">
        <f t="shared" si="6"/>
        <v>37378</v>
      </c>
      <c r="E46" s="111">
        <f t="shared" si="9"/>
        <v>0.12055219647921236</v>
      </c>
      <c r="F46" s="112">
        <f t="shared" si="10"/>
        <v>218.2</v>
      </c>
      <c r="G46" s="113">
        <f t="shared" si="11"/>
        <v>532609.19999999995</v>
      </c>
      <c r="H46" s="114">
        <f>G46/G$67*DOT!$G$12</f>
        <v>1430718.5481625127</v>
      </c>
      <c r="J46" s="109" t="str">
        <f>DFIE!$B27</f>
        <v>Obwalden</v>
      </c>
      <c r="K46" s="110">
        <v>49058</v>
      </c>
      <c r="L46" s="116">
        <f t="shared" si="7"/>
        <v>37378</v>
      </c>
      <c r="M46" s="111">
        <f t="shared" si="8"/>
        <v>1.3124832789341323</v>
      </c>
      <c r="N46" s="112">
        <f t="shared" si="12"/>
        <v>267.60000000000002</v>
      </c>
      <c r="O46" s="113">
        <f t="shared" si="13"/>
        <v>6264552.8000000007</v>
      </c>
      <c r="P46" s="114">
        <f>O46/O$67*DOT!$H$12</f>
        <v>1293707.0618762844</v>
      </c>
    </row>
    <row r="47" spans="1:16" x14ac:dyDescent="0.2">
      <c r="B47" s="123" t="str">
        <f>DFIE!$B28</f>
        <v>Nidwalden</v>
      </c>
      <c r="C47" s="82">
        <v>3511</v>
      </c>
      <c r="D47" s="84">
        <f t="shared" si="6"/>
        <v>42556</v>
      </c>
      <c r="E47" s="103">
        <f t="shared" si="9"/>
        <v>8.250305479838331E-2</v>
      </c>
      <c r="F47" s="105">
        <f t="shared" si="10"/>
        <v>149.4</v>
      </c>
      <c r="G47" s="84">
        <f t="shared" si="11"/>
        <v>173443.40000000002</v>
      </c>
      <c r="H47" s="85">
        <f>G47/G$67*DOT!$G$12</f>
        <v>465911.38387464959</v>
      </c>
      <c r="J47" s="123" t="str">
        <f>DFIE!$B28</f>
        <v>Nidwalden</v>
      </c>
      <c r="K47" s="82">
        <v>27585</v>
      </c>
      <c r="L47" s="88">
        <f t="shared" si="7"/>
        <v>42556</v>
      </c>
      <c r="M47" s="103">
        <f t="shared" si="8"/>
        <v>0.64820471848857975</v>
      </c>
      <c r="N47" s="105">
        <f t="shared" si="12"/>
        <v>132.19999999999999</v>
      </c>
      <c r="O47" s="84">
        <f t="shared" si="13"/>
        <v>1370303.1999999995</v>
      </c>
      <c r="P47" s="85">
        <f>O47/O$67*DOT!$H$12</f>
        <v>282984.43374149059</v>
      </c>
    </row>
    <row r="48" spans="1:16" x14ac:dyDescent="0.2">
      <c r="B48" s="109" t="str">
        <f>DFIE!$B29</f>
        <v>Glarus</v>
      </c>
      <c r="C48" s="110">
        <v>2425</v>
      </c>
      <c r="D48" s="113">
        <f t="shared" si="6"/>
        <v>40147</v>
      </c>
      <c r="E48" s="111">
        <f t="shared" si="9"/>
        <v>6.0403018905522209E-2</v>
      </c>
      <c r="F48" s="112">
        <f t="shared" si="10"/>
        <v>109.4</v>
      </c>
      <c r="G48" s="113">
        <f t="shared" si="11"/>
        <v>22795.000000000015</v>
      </c>
      <c r="H48" s="114">
        <f>G48/G$67*DOT!$G$12</f>
        <v>61232.943977243543</v>
      </c>
      <c r="J48" s="109" t="str">
        <f>DFIE!$B29</f>
        <v>Glarus</v>
      </c>
      <c r="K48" s="110">
        <v>68531</v>
      </c>
      <c r="L48" s="116">
        <f t="shared" si="7"/>
        <v>40147</v>
      </c>
      <c r="M48" s="111">
        <f t="shared" si="8"/>
        <v>1.7070017685007597</v>
      </c>
      <c r="N48" s="112">
        <f t="shared" si="12"/>
        <v>348.1</v>
      </c>
      <c r="O48" s="113">
        <f t="shared" si="13"/>
        <v>9960470.7000000011</v>
      </c>
      <c r="P48" s="114">
        <f>O48/O$67*DOT!$H$12</f>
        <v>2056959.4822796956</v>
      </c>
    </row>
    <row r="49" spans="2:16" x14ac:dyDescent="0.2">
      <c r="B49" s="123" t="str">
        <f>DFIE!$B30</f>
        <v>Zug</v>
      </c>
      <c r="C49" s="82">
        <v>5779</v>
      </c>
      <c r="D49" s="84">
        <f t="shared" si="6"/>
        <v>123948</v>
      </c>
      <c r="E49" s="103">
        <f t="shared" si="9"/>
        <v>4.6624390873592152E-2</v>
      </c>
      <c r="F49" s="105">
        <f t="shared" si="10"/>
        <v>84.4</v>
      </c>
      <c r="G49" s="84">
        <f t="shared" si="11"/>
        <v>0</v>
      </c>
      <c r="H49" s="85">
        <f>G49/G$67*DOT!$G$12</f>
        <v>0</v>
      </c>
      <c r="J49" s="123" t="str">
        <f>DFIE!$B30</f>
        <v>Zug</v>
      </c>
      <c r="K49" s="82">
        <v>23873</v>
      </c>
      <c r="L49" s="88">
        <f t="shared" si="7"/>
        <v>123948</v>
      </c>
      <c r="M49" s="103">
        <f t="shared" si="8"/>
        <v>0.19260496337173655</v>
      </c>
      <c r="N49" s="105">
        <f t="shared" si="12"/>
        <v>39.299999999999997</v>
      </c>
      <c r="O49" s="84">
        <f t="shared" si="13"/>
        <v>0</v>
      </c>
      <c r="P49" s="85">
        <f>O49/O$67*DOT!$H$12</f>
        <v>0</v>
      </c>
    </row>
    <row r="50" spans="2:16" x14ac:dyDescent="0.2">
      <c r="B50" s="109" t="str">
        <f>DFIE!$B31</f>
        <v>Freiburg</v>
      </c>
      <c r="C50" s="110">
        <v>30602</v>
      </c>
      <c r="D50" s="113">
        <f t="shared" si="6"/>
        <v>311914</v>
      </c>
      <c r="E50" s="111">
        <f t="shared" si="9"/>
        <v>9.8110376578159367E-2</v>
      </c>
      <c r="F50" s="112">
        <f t="shared" si="10"/>
        <v>177.6</v>
      </c>
      <c r="G50" s="113">
        <f t="shared" si="11"/>
        <v>2374715.1999999997</v>
      </c>
      <c r="H50" s="114">
        <f>G50/G$67*DOT!$G$12</f>
        <v>6379065.7075458914</v>
      </c>
      <c r="J50" s="109" t="str">
        <f>DFIE!$B31</f>
        <v>Freiburg</v>
      </c>
      <c r="K50" s="110">
        <v>167142</v>
      </c>
      <c r="L50" s="116">
        <f t="shared" si="7"/>
        <v>311914</v>
      </c>
      <c r="M50" s="111">
        <f t="shared" si="8"/>
        <v>0.53585924325294798</v>
      </c>
      <c r="N50" s="112">
        <f t="shared" si="12"/>
        <v>109.3</v>
      </c>
      <c r="O50" s="113">
        <f t="shared" si="13"/>
        <v>2900800.1999999993</v>
      </c>
      <c r="P50" s="114">
        <f>O50/O$67*DOT!$H$12</f>
        <v>599050.85385059519</v>
      </c>
    </row>
    <row r="51" spans="2:16" x14ac:dyDescent="0.2">
      <c r="B51" s="123" t="str">
        <f>DFIE!$B32</f>
        <v>Solothurn</v>
      </c>
      <c r="C51" s="82">
        <v>8815</v>
      </c>
      <c r="D51" s="84">
        <f t="shared" si="6"/>
        <v>269441</v>
      </c>
      <c r="E51" s="103">
        <f t="shared" si="9"/>
        <v>3.2715882141173762E-2</v>
      </c>
      <c r="F51" s="105">
        <f t="shared" si="10"/>
        <v>59.2</v>
      </c>
      <c r="G51" s="84">
        <f t="shared" si="11"/>
        <v>0</v>
      </c>
      <c r="H51" s="85">
        <f>G51/G$67*DOT!$G$12</f>
        <v>0</v>
      </c>
      <c r="J51" s="123" t="str">
        <f>DFIE!$B32</f>
        <v>Solothurn</v>
      </c>
      <c r="K51" s="82">
        <v>79045</v>
      </c>
      <c r="L51" s="88">
        <f t="shared" si="7"/>
        <v>269441</v>
      </c>
      <c r="M51" s="103">
        <f t="shared" si="8"/>
        <v>0.29336663685185255</v>
      </c>
      <c r="N51" s="105">
        <f t="shared" si="12"/>
        <v>59.8</v>
      </c>
      <c r="O51" s="84">
        <f t="shared" si="13"/>
        <v>0</v>
      </c>
      <c r="P51" s="85">
        <f>O51/O$67*DOT!$H$12</f>
        <v>0</v>
      </c>
    </row>
    <row r="52" spans="2:16" x14ac:dyDescent="0.2">
      <c r="B52" s="109" t="str">
        <f>DFIE!$B33</f>
        <v>Basel-Stadt</v>
      </c>
      <c r="C52" s="110">
        <v>1034</v>
      </c>
      <c r="D52" s="113">
        <f t="shared" si="6"/>
        <v>193070</v>
      </c>
      <c r="E52" s="111">
        <f t="shared" si="9"/>
        <v>5.3555705184648054E-3</v>
      </c>
      <c r="F52" s="112">
        <f t="shared" si="10"/>
        <v>9.6999999999999993</v>
      </c>
      <c r="G52" s="113">
        <f t="shared" si="11"/>
        <v>0</v>
      </c>
      <c r="H52" s="114">
        <f>G52/G$67*DOT!$G$12</f>
        <v>0</v>
      </c>
      <c r="J52" s="109" t="str">
        <f>DFIE!$B33</f>
        <v>Basel-Stadt</v>
      </c>
      <c r="K52" s="110">
        <v>3695</v>
      </c>
      <c r="L52" s="116">
        <f t="shared" si="7"/>
        <v>193070</v>
      </c>
      <c r="M52" s="111">
        <f t="shared" si="8"/>
        <v>1.9138136427202568E-2</v>
      </c>
      <c r="N52" s="112">
        <f t="shared" si="12"/>
        <v>3.9</v>
      </c>
      <c r="O52" s="113">
        <f t="shared" si="13"/>
        <v>0</v>
      </c>
      <c r="P52" s="114">
        <f>O52/O$67*DOT!$H$12</f>
        <v>0</v>
      </c>
    </row>
    <row r="53" spans="2:16" ht="12.75" customHeight="1" x14ac:dyDescent="0.2">
      <c r="B53" s="123" t="str">
        <f>DFIE!$B34</f>
        <v>Basel-Landschaft</v>
      </c>
      <c r="C53" s="82">
        <v>4978</v>
      </c>
      <c r="D53" s="84">
        <f t="shared" si="6"/>
        <v>285624</v>
      </c>
      <c r="E53" s="103">
        <f t="shared" si="9"/>
        <v>1.7428507408341037E-2</v>
      </c>
      <c r="F53" s="105">
        <f t="shared" si="10"/>
        <v>31.6</v>
      </c>
      <c r="G53" s="84">
        <f t="shared" si="11"/>
        <v>0</v>
      </c>
      <c r="H53" s="85">
        <f>G53/G$67*DOT!$G$12</f>
        <v>0</v>
      </c>
      <c r="J53" s="123" t="str">
        <f>DFIE!$B34</f>
        <v>Basel-Landschaft</v>
      </c>
      <c r="K53" s="82">
        <v>51767</v>
      </c>
      <c r="L53" s="88">
        <f t="shared" si="7"/>
        <v>285624</v>
      </c>
      <c r="M53" s="103">
        <f t="shared" si="8"/>
        <v>0.18124177240007844</v>
      </c>
      <c r="N53" s="105">
        <f t="shared" si="12"/>
        <v>37</v>
      </c>
      <c r="O53" s="84">
        <f t="shared" si="13"/>
        <v>0</v>
      </c>
      <c r="P53" s="85">
        <f>O53/O$67*DOT!$H$12</f>
        <v>0</v>
      </c>
    </row>
    <row r="54" spans="2:16" x14ac:dyDescent="0.2">
      <c r="B54" s="109" t="str">
        <f>DFIE!$B35</f>
        <v>Schaffhausen</v>
      </c>
      <c r="C54" s="110">
        <v>2321</v>
      </c>
      <c r="D54" s="113">
        <f t="shared" si="6"/>
        <v>80769</v>
      </c>
      <c r="E54" s="111">
        <f t="shared" si="9"/>
        <v>2.873627257982642E-2</v>
      </c>
      <c r="F54" s="112">
        <f t="shared" si="10"/>
        <v>52</v>
      </c>
      <c r="G54" s="113">
        <f t="shared" si="11"/>
        <v>0</v>
      </c>
      <c r="H54" s="114">
        <f>G54/G$67*DOT!$G$12</f>
        <v>0</v>
      </c>
      <c r="J54" s="109" t="str">
        <f>DFIE!$B35</f>
        <v>Schaffhausen</v>
      </c>
      <c r="K54" s="110">
        <v>29842</v>
      </c>
      <c r="L54" s="116">
        <f t="shared" si="7"/>
        <v>80769</v>
      </c>
      <c r="M54" s="111">
        <f t="shared" si="8"/>
        <v>0.3694734365907712</v>
      </c>
      <c r="N54" s="112">
        <f t="shared" si="12"/>
        <v>75.3</v>
      </c>
      <c r="O54" s="113">
        <f t="shared" si="13"/>
        <v>0</v>
      </c>
      <c r="P54" s="114">
        <f>O54/O$67*DOT!$H$12</f>
        <v>0</v>
      </c>
    </row>
    <row r="55" spans="2:16" ht="12.75" customHeight="1" x14ac:dyDescent="0.2">
      <c r="B55" s="123" t="str">
        <f>DFIE!$B36</f>
        <v>Appenzell A.Rh.</v>
      </c>
      <c r="C55" s="82">
        <v>6601</v>
      </c>
      <c r="D55" s="84">
        <f t="shared" si="6"/>
        <v>54954</v>
      </c>
      <c r="E55" s="103">
        <f t="shared" si="9"/>
        <v>0.12011864468464534</v>
      </c>
      <c r="F55" s="105">
        <f t="shared" si="10"/>
        <v>217.5</v>
      </c>
      <c r="G55" s="84">
        <f t="shared" si="11"/>
        <v>775617.5</v>
      </c>
      <c r="H55" s="85">
        <f>G55/G$67*DOT!$G$12</f>
        <v>2083498.2638854864</v>
      </c>
      <c r="J55" s="123" t="str">
        <f>DFIE!$B36</f>
        <v>Appenzell A.Rh.</v>
      </c>
      <c r="K55" s="82">
        <v>24284</v>
      </c>
      <c r="L55" s="88">
        <f t="shared" si="7"/>
        <v>54954</v>
      </c>
      <c r="M55" s="103">
        <f t="shared" si="8"/>
        <v>0.44189685919132365</v>
      </c>
      <c r="N55" s="105">
        <f t="shared" si="12"/>
        <v>90.1</v>
      </c>
      <c r="O55" s="84">
        <f t="shared" si="13"/>
        <v>0</v>
      </c>
      <c r="P55" s="85">
        <f>O55/O$67*DOT!$H$12</f>
        <v>0</v>
      </c>
    </row>
    <row r="56" spans="2:16" x14ac:dyDescent="0.2">
      <c r="B56" s="109" t="str">
        <f>DFIE!$B37</f>
        <v>Appenzell I.Rh.</v>
      </c>
      <c r="C56" s="110">
        <v>3424</v>
      </c>
      <c r="D56" s="113">
        <f t="shared" si="6"/>
        <v>16003</v>
      </c>
      <c r="E56" s="111">
        <f t="shared" si="9"/>
        <v>0.21395988252202711</v>
      </c>
      <c r="F56" s="112">
        <f t="shared" si="10"/>
        <v>387.3</v>
      </c>
      <c r="G56" s="113">
        <f t="shared" si="11"/>
        <v>983715.20000000007</v>
      </c>
      <c r="H56" s="114">
        <f>G56/G$67*DOT!$G$12</f>
        <v>2642499.5714482516</v>
      </c>
      <c r="J56" s="109" t="str">
        <f>DFIE!$B37</f>
        <v>Appenzell I.Rh.</v>
      </c>
      <c r="K56" s="110">
        <v>17248</v>
      </c>
      <c r="L56" s="116">
        <f t="shared" si="7"/>
        <v>16003</v>
      </c>
      <c r="M56" s="111">
        <f t="shared" si="8"/>
        <v>1.0777979128913329</v>
      </c>
      <c r="N56" s="112">
        <f t="shared" si="12"/>
        <v>219.8</v>
      </c>
      <c r="O56" s="113">
        <f t="shared" si="13"/>
        <v>1917159.4000000001</v>
      </c>
      <c r="P56" s="114">
        <f>O56/O$67*DOT!$H$12</f>
        <v>395916.95268694998</v>
      </c>
    </row>
    <row r="57" spans="2:16" x14ac:dyDescent="0.2">
      <c r="B57" s="123" t="str">
        <f>DFIE!$B38</f>
        <v>St. Gallen</v>
      </c>
      <c r="C57" s="82">
        <v>34029</v>
      </c>
      <c r="D57" s="84">
        <f t="shared" si="6"/>
        <v>502552</v>
      </c>
      <c r="E57" s="103">
        <f t="shared" si="9"/>
        <v>6.7712395931167318E-2</v>
      </c>
      <c r="F57" s="105">
        <f t="shared" si="10"/>
        <v>122.6</v>
      </c>
      <c r="G57" s="84">
        <f t="shared" si="11"/>
        <v>769055.39999999979</v>
      </c>
      <c r="H57" s="85">
        <f>G57/G$67*DOT!$G$12</f>
        <v>2065870.8586793852</v>
      </c>
      <c r="J57" s="123" t="str">
        <f>DFIE!$B38</f>
        <v>St. Gallen</v>
      </c>
      <c r="K57" s="82">
        <v>203076</v>
      </c>
      <c r="L57" s="88">
        <f t="shared" si="7"/>
        <v>502552</v>
      </c>
      <c r="M57" s="103">
        <f t="shared" si="8"/>
        <v>0.40408952705391682</v>
      </c>
      <c r="N57" s="105">
        <f t="shared" si="12"/>
        <v>82.4</v>
      </c>
      <c r="O57" s="84">
        <f t="shared" si="13"/>
        <v>0</v>
      </c>
      <c r="P57" s="85">
        <f>O57/O$67*DOT!$H$12</f>
        <v>0</v>
      </c>
    </row>
    <row r="58" spans="2:16" x14ac:dyDescent="0.2">
      <c r="B58" s="109" t="str">
        <f>DFIE!$B39</f>
        <v>Graubünden</v>
      </c>
      <c r="C58" s="110">
        <v>25435</v>
      </c>
      <c r="D58" s="113">
        <f t="shared" si="6"/>
        <v>197550</v>
      </c>
      <c r="E58" s="111">
        <f t="shared" si="9"/>
        <v>0.1287522146292078</v>
      </c>
      <c r="F58" s="112">
        <f t="shared" si="10"/>
        <v>233.1</v>
      </c>
      <c r="G58" s="113">
        <f t="shared" si="11"/>
        <v>3385398.5</v>
      </c>
      <c r="H58" s="114">
        <f>G58/G$67*DOT!$G$12</f>
        <v>9094008.1900041327</v>
      </c>
      <c r="J58" s="109" t="str">
        <f>DFIE!$B39</f>
        <v>Graubünden</v>
      </c>
      <c r="K58" s="110">
        <v>710539</v>
      </c>
      <c r="L58" s="116">
        <f t="shared" si="7"/>
        <v>197550</v>
      </c>
      <c r="M58" s="111">
        <f t="shared" si="8"/>
        <v>3.5967552518349786</v>
      </c>
      <c r="N58" s="112">
        <f t="shared" si="12"/>
        <v>733.4</v>
      </c>
      <c r="O58" s="113">
        <f t="shared" si="13"/>
        <v>125128170</v>
      </c>
      <c r="P58" s="114">
        <f>O58/O$67*DOT!$H$12</f>
        <v>25840503.278806463</v>
      </c>
    </row>
    <row r="59" spans="2:16" x14ac:dyDescent="0.2">
      <c r="B59" s="123" t="str">
        <f>DFIE!$B40</f>
        <v>Aargau</v>
      </c>
      <c r="C59" s="82">
        <v>17668</v>
      </c>
      <c r="D59" s="84">
        <f t="shared" si="6"/>
        <v>663462</v>
      </c>
      <c r="E59" s="103">
        <f t="shared" si="9"/>
        <v>2.6630010460282579E-2</v>
      </c>
      <c r="F59" s="105">
        <f t="shared" si="10"/>
        <v>48.2</v>
      </c>
      <c r="G59" s="84">
        <f t="shared" si="11"/>
        <v>0</v>
      </c>
      <c r="H59" s="85">
        <f>G59/G$67*DOT!$G$12</f>
        <v>0</v>
      </c>
      <c r="J59" s="123" t="str">
        <f>DFIE!$B40</f>
        <v>Aargau</v>
      </c>
      <c r="K59" s="82">
        <v>140380</v>
      </c>
      <c r="L59" s="88">
        <f t="shared" si="7"/>
        <v>663462</v>
      </c>
      <c r="M59" s="103">
        <f t="shared" si="8"/>
        <v>0.21158709918578608</v>
      </c>
      <c r="N59" s="105">
        <f t="shared" si="12"/>
        <v>43.1</v>
      </c>
      <c r="O59" s="84">
        <f t="shared" si="13"/>
        <v>0</v>
      </c>
      <c r="P59" s="85">
        <f>O59/O$67*DOT!$H$12</f>
        <v>0</v>
      </c>
    </row>
    <row r="60" spans="2:16" x14ac:dyDescent="0.2">
      <c r="B60" s="109" t="str">
        <f>DFIE!$B41</f>
        <v>Thurgau</v>
      </c>
      <c r="C60" s="110">
        <v>23787</v>
      </c>
      <c r="D60" s="113">
        <f t="shared" si="6"/>
        <v>270709</v>
      </c>
      <c r="E60" s="111">
        <f t="shared" si="9"/>
        <v>8.786926182727578E-2</v>
      </c>
      <c r="F60" s="112">
        <f t="shared" si="10"/>
        <v>159.1</v>
      </c>
      <c r="G60" s="113">
        <f t="shared" si="11"/>
        <v>1405811.7</v>
      </c>
      <c r="H60" s="114">
        <f>G60/G$67*DOT!$G$12</f>
        <v>3776353.9841479906</v>
      </c>
      <c r="J60" s="109" t="str">
        <f>DFIE!$B41</f>
        <v>Thurgau</v>
      </c>
      <c r="K60" s="110">
        <v>99177</v>
      </c>
      <c r="L60" s="116">
        <f t="shared" si="7"/>
        <v>270709</v>
      </c>
      <c r="M60" s="111">
        <f t="shared" si="8"/>
        <v>0.3663601875076189</v>
      </c>
      <c r="N60" s="112">
        <f t="shared" si="12"/>
        <v>74.7</v>
      </c>
      <c r="O60" s="113">
        <f t="shared" si="13"/>
        <v>0</v>
      </c>
      <c r="P60" s="114">
        <f>O60/O$67*DOT!$H$12</f>
        <v>0</v>
      </c>
    </row>
    <row r="61" spans="2:16" x14ac:dyDescent="0.2">
      <c r="B61" s="123" t="str">
        <f>DFIE!$B42</f>
        <v>Tessin</v>
      </c>
      <c r="C61" s="82">
        <v>16059</v>
      </c>
      <c r="D61" s="84">
        <f t="shared" si="6"/>
        <v>354375</v>
      </c>
      <c r="E61" s="103">
        <f t="shared" si="9"/>
        <v>4.5316402116402116E-2</v>
      </c>
      <c r="F61" s="105">
        <f t="shared" si="10"/>
        <v>82</v>
      </c>
      <c r="G61" s="84">
        <f t="shared" si="11"/>
        <v>0</v>
      </c>
      <c r="H61" s="85">
        <f>G61/G$67*DOT!$G$12</f>
        <v>0</v>
      </c>
      <c r="J61" s="123" t="str">
        <f>DFIE!$B42</f>
        <v>Tessin</v>
      </c>
      <c r="K61" s="82">
        <v>281220</v>
      </c>
      <c r="L61" s="88">
        <f t="shared" si="7"/>
        <v>354375</v>
      </c>
      <c r="M61" s="103">
        <f t="shared" si="8"/>
        <v>0.79356613756613759</v>
      </c>
      <c r="N61" s="105">
        <f t="shared" si="12"/>
        <v>161.80000000000001</v>
      </c>
      <c r="O61" s="84">
        <f t="shared" si="13"/>
        <v>21900375.000000004</v>
      </c>
      <c r="P61" s="85">
        <f>O61/O$67*DOT!$H$12</f>
        <v>4522696.3040743843</v>
      </c>
    </row>
    <row r="62" spans="2:16" x14ac:dyDescent="0.2">
      <c r="B62" s="109" t="str">
        <f>DFIE!$B43</f>
        <v>Waadt</v>
      </c>
      <c r="C62" s="110">
        <v>39191</v>
      </c>
      <c r="D62" s="113">
        <f t="shared" si="6"/>
        <v>784822</v>
      </c>
      <c r="E62" s="111">
        <f t="shared" si="9"/>
        <v>4.9936163869004693E-2</v>
      </c>
      <c r="F62" s="112">
        <f t="shared" si="10"/>
        <v>90.4</v>
      </c>
      <c r="G62" s="113">
        <f t="shared" si="11"/>
        <v>0</v>
      </c>
      <c r="H62" s="114">
        <f>G62/G$67*DOT!$G$12</f>
        <v>0</v>
      </c>
      <c r="J62" s="109" t="str">
        <f>DFIE!$B43</f>
        <v>Waadt</v>
      </c>
      <c r="K62" s="110">
        <v>321201</v>
      </c>
      <c r="L62" s="116">
        <f t="shared" si="7"/>
        <v>784822</v>
      </c>
      <c r="M62" s="111">
        <f t="shared" si="8"/>
        <v>0.4092660501362092</v>
      </c>
      <c r="N62" s="112">
        <f t="shared" si="12"/>
        <v>83.5</v>
      </c>
      <c r="O62" s="113">
        <f t="shared" si="13"/>
        <v>0</v>
      </c>
      <c r="P62" s="114">
        <f>O62/O$67*DOT!$H$12</f>
        <v>0</v>
      </c>
    </row>
    <row r="63" spans="2:16" x14ac:dyDescent="0.2">
      <c r="B63" s="123" t="str">
        <f>DFIE!$B44</f>
        <v>Wallis</v>
      </c>
      <c r="C63" s="82">
        <v>20284</v>
      </c>
      <c r="D63" s="84">
        <f t="shared" si="6"/>
        <v>339176</v>
      </c>
      <c r="E63" s="103">
        <f t="shared" si="9"/>
        <v>5.9803759699978774E-2</v>
      </c>
      <c r="F63" s="105">
        <f t="shared" si="10"/>
        <v>108.3</v>
      </c>
      <c r="G63" s="84">
        <f t="shared" si="11"/>
        <v>168357.19999999995</v>
      </c>
      <c r="H63" s="85">
        <f>G63/G$67*DOT!$G$12</f>
        <v>452248.6069649299</v>
      </c>
      <c r="J63" s="123" t="str">
        <f>DFIE!$B44</f>
        <v>Wallis</v>
      </c>
      <c r="K63" s="82">
        <v>522460</v>
      </c>
      <c r="L63" s="88">
        <f t="shared" si="7"/>
        <v>339176</v>
      </c>
      <c r="M63" s="103">
        <f t="shared" si="8"/>
        <v>1.5403802155812911</v>
      </c>
      <c r="N63" s="105">
        <f t="shared" si="12"/>
        <v>314.10000000000002</v>
      </c>
      <c r="O63" s="84">
        <f t="shared" si="13"/>
        <v>72617581.600000009</v>
      </c>
      <c r="P63" s="85">
        <f>O63/O$67*DOT!$H$12</f>
        <v>14996422.112093514</v>
      </c>
    </row>
    <row r="64" spans="2:16" x14ac:dyDescent="0.2">
      <c r="B64" s="109" t="str">
        <f>DFIE!$B45</f>
        <v>Neuenburg</v>
      </c>
      <c r="C64" s="110">
        <v>9868</v>
      </c>
      <c r="D64" s="113">
        <f t="shared" si="6"/>
        <v>178567</v>
      </c>
      <c r="E64" s="111">
        <f t="shared" si="9"/>
        <v>5.5262170501828446E-2</v>
      </c>
      <c r="F64" s="112">
        <f t="shared" si="10"/>
        <v>100</v>
      </c>
      <c r="G64" s="113">
        <f t="shared" si="11"/>
        <v>0</v>
      </c>
      <c r="H64" s="114">
        <f>G64/G$67*DOT!$G$12</f>
        <v>0</v>
      </c>
      <c r="J64" s="109" t="str">
        <f>DFIE!$B45</f>
        <v>Neuenburg</v>
      </c>
      <c r="K64" s="110">
        <v>80216</v>
      </c>
      <c r="L64" s="116">
        <f t="shared" si="7"/>
        <v>178567</v>
      </c>
      <c r="M64" s="111">
        <f t="shared" si="8"/>
        <v>0.44922074067436873</v>
      </c>
      <c r="N64" s="112">
        <f t="shared" si="12"/>
        <v>91.6</v>
      </c>
      <c r="O64" s="113">
        <f t="shared" si="13"/>
        <v>0</v>
      </c>
      <c r="P64" s="114">
        <f>O64/O$67*DOT!$H$12</f>
        <v>0</v>
      </c>
    </row>
    <row r="65" spans="2:16" x14ac:dyDescent="0.2">
      <c r="B65" s="123" t="str">
        <f>DFIE!$B46</f>
        <v>Genf</v>
      </c>
      <c r="C65" s="82">
        <v>6089</v>
      </c>
      <c r="D65" s="84">
        <f t="shared" si="6"/>
        <v>489524</v>
      </c>
      <c r="E65" s="103">
        <f t="shared" si="9"/>
        <v>1.2438613837115238E-2</v>
      </c>
      <c r="F65" s="105">
        <f t="shared" si="10"/>
        <v>22.5</v>
      </c>
      <c r="G65" s="84">
        <f t="shared" si="11"/>
        <v>0</v>
      </c>
      <c r="H65" s="85">
        <f>G65/G$67*DOT!$G$12</f>
        <v>0</v>
      </c>
      <c r="J65" s="123" t="str">
        <f>DFIE!$B46</f>
        <v>Genf</v>
      </c>
      <c r="K65" s="82">
        <v>28249</v>
      </c>
      <c r="L65" s="88">
        <f t="shared" si="7"/>
        <v>489524</v>
      </c>
      <c r="M65" s="103">
        <f t="shared" si="8"/>
        <v>5.7707078713198946E-2</v>
      </c>
      <c r="N65" s="105">
        <f t="shared" si="12"/>
        <v>11.8</v>
      </c>
      <c r="O65" s="84">
        <f t="shared" si="13"/>
        <v>0</v>
      </c>
      <c r="P65" s="85">
        <f>O65/O$67*DOT!$H$12</f>
        <v>0</v>
      </c>
    </row>
    <row r="66" spans="2:16" x14ac:dyDescent="0.2">
      <c r="B66" s="109" t="str">
        <f>DFIE!$B47</f>
        <v>Jura</v>
      </c>
      <c r="C66" s="110">
        <v>7407</v>
      </c>
      <c r="D66" s="113">
        <f t="shared" si="6"/>
        <v>73122</v>
      </c>
      <c r="E66" s="111">
        <f t="shared" si="9"/>
        <v>0.10129646344465414</v>
      </c>
      <c r="F66" s="112">
        <f t="shared" si="10"/>
        <v>183.4</v>
      </c>
      <c r="G66" s="113">
        <f t="shared" si="11"/>
        <v>617743.80000000005</v>
      </c>
      <c r="H66" s="114">
        <f>G66/G$67*DOT!$G$12</f>
        <v>1659410.9014121306</v>
      </c>
      <c r="J66" s="109" t="str">
        <f>DFIE!$B47</f>
        <v>Jura</v>
      </c>
      <c r="K66" s="110">
        <v>83851</v>
      </c>
      <c r="L66" s="116">
        <f t="shared" si="7"/>
        <v>73122</v>
      </c>
      <c r="M66" s="111">
        <f t="shared" si="8"/>
        <v>1.1467273871064796</v>
      </c>
      <c r="N66" s="112">
        <f t="shared" si="12"/>
        <v>233.8</v>
      </c>
      <c r="O66" s="113">
        <f t="shared" si="13"/>
        <v>9783723.6000000015</v>
      </c>
      <c r="P66" s="114">
        <f>O66/O$67*DOT!$H$12</f>
        <v>2020459.0362404902</v>
      </c>
    </row>
    <row r="67" spans="2:16" x14ac:dyDescent="0.2">
      <c r="B67" s="124" t="str">
        <f>DFIE!$B48</f>
        <v>Schweiz</v>
      </c>
      <c r="C67" s="83">
        <f>SUM(C41:C66)</f>
        <v>465077</v>
      </c>
      <c r="D67" s="83">
        <f>SUM(D41:D66)</f>
        <v>8419550</v>
      </c>
      <c r="E67" s="104">
        <f t="shared" si="9"/>
        <v>5.5237750236057745E-2</v>
      </c>
      <c r="F67" s="106">
        <f>ROUND(E67/E$67*100,1)</f>
        <v>100</v>
      </c>
      <c r="G67" s="83">
        <f>SUM(G41:G66)</f>
        <v>22448098.099999998</v>
      </c>
      <c r="H67" s="86">
        <f>SUM(H41:H66)</f>
        <v>60301080.647201858</v>
      </c>
      <c r="J67" s="124" t="str">
        <f>DFIE!$B48</f>
        <v>Schweiz</v>
      </c>
      <c r="K67" s="83">
        <f>SUM(K41:K66)</f>
        <v>4129079</v>
      </c>
      <c r="L67" s="83">
        <f>SUM(L41:L66)</f>
        <v>8419550</v>
      </c>
      <c r="M67" s="104">
        <f t="shared" si="8"/>
        <v>0.49041563979072517</v>
      </c>
      <c r="N67" s="106">
        <f>ROUND(M67/M$67*100,1)</f>
        <v>100</v>
      </c>
      <c r="O67" s="83">
        <f>SUM(O41:O66)</f>
        <v>291997558.60000002</v>
      </c>
      <c r="P67" s="86">
        <f>SUM(P41:P66)</f>
        <v>60301080.647201851</v>
      </c>
    </row>
  </sheetData>
  <conditionalFormatting sqref="C7:D32 K41:L66">
    <cfRule type="expression" dxfId="28" priority="20" stopIfTrue="1">
      <formula>ISBLANK(C7)</formula>
    </cfRule>
  </conditionalFormatting>
  <conditionalFormatting sqref="K7:L32 L33">
    <cfRule type="expression" dxfId="27" priority="19" stopIfTrue="1">
      <formula>ISBLANK(K7)</formula>
    </cfRule>
  </conditionalFormatting>
  <conditionalFormatting sqref="C41:C66">
    <cfRule type="expression" dxfId="26" priority="18" stopIfTrue="1">
      <formula>ISBLANK(C41)</formula>
    </cfRule>
  </conditionalFormatting>
  <conditionalFormatting sqref="C5:D5">
    <cfRule type="expression" dxfId="25" priority="8" stopIfTrue="1">
      <formula>ISBLANK(C5)</formula>
    </cfRule>
  </conditionalFormatting>
  <conditionalFormatting sqref="K5:L5">
    <cfRule type="expression" dxfId="24" priority="7" stopIfTrue="1">
      <formula>ISBLANK(K5)</formula>
    </cfRule>
  </conditionalFormatting>
  <conditionalFormatting sqref="C39">
    <cfRule type="expression" dxfId="23" priority="6" stopIfTrue="1">
      <formula>ISBLANK(C39)</formula>
    </cfRule>
  </conditionalFormatting>
  <conditionalFormatting sqref="K39">
    <cfRule type="expression" dxfId="22" priority="5" stopIfTrue="1">
      <formula>ISBLANK(K39)</formula>
    </cfRule>
  </conditionalFormatting>
  <conditionalFormatting sqref="D39">
    <cfRule type="expression" dxfId="21" priority="3" stopIfTrue="1">
      <formula>ISBLANK(D39)</formula>
    </cfRule>
  </conditionalFormatting>
  <conditionalFormatting sqref="L39">
    <cfRule type="expression" dxfId="20" priority="1" stopIfTrue="1">
      <formula>ISBLANK(L39)</formula>
    </cfRule>
  </conditionalFormatting>
  <pageMargins left="0.78740157480314965" right="0.78740157480314965" top="0.98425196850393704" bottom="0.78740157480314965" header="0.51181102362204722" footer="0.51181102362204722"/>
  <pageSetup paperSize="9" scale="95" pageOrder="overThenDown" orientation="landscape"/>
  <headerFooter scaleWithDoc="0" alignWithMargins="0">
    <oddHeader>&amp;L&amp;F&amp;R&amp;A</oddHeader>
    <oddFooter>&amp;C&amp;P / &amp;N</oddFooter>
  </headerFooter>
  <rowBreaks count="1" manualBreakCount="1">
    <brk id="34" max="1638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J40"/>
  <sheetViews>
    <sheetView showGridLines="0" workbookViewId="0">
      <selection activeCell="A87" sqref="A87"/>
    </sheetView>
  </sheetViews>
  <sheetFormatPr baseColWidth="10" defaultColWidth="9.140625" defaultRowHeight="12.75" x14ac:dyDescent="0.2"/>
  <cols>
    <col min="1" max="1" width="1.42578125" customWidth="1"/>
    <col min="2" max="2" width="17.140625" customWidth="1"/>
    <col min="3" max="7" width="17.7109375" customWidth="1"/>
  </cols>
  <sheetData>
    <row r="1" spans="1:10" ht="23.25" customHeight="1" x14ac:dyDescent="0.35">
      <c r="B1" s="136" t="str">
        <f>DFIE!B115</f>
        <v>Auszahlungen GLA 2019</v>
      </c>
      <c r="C1" s="117"/>
      <c r="D1" s="117"/>
      <c r="E1" s="120"/>
      <c r="G1" s="81"/>
    </row>
    <row r="2" spans="1:10" x14ac:dyDescent="0.2">
      <c r="F2" s="127"/>
      <c r="G2" s="139"/>
    </row>
    <row r="3" spans="1:10" ht="0.75" customHeight="1" x14ac:dyDescent="0.2">
      <c r="F3" s="127"/>
      <c r="G3" s="139"/>
    </row>
    <row r="4" spans="1:10" ht="0.75" customHeight="1" x14ac:dyDescent="0.2">
      <c r="F4" s="127"/>
      <c r="G4" s="139"/>
    </row>
    <row r="5" spans="1:10" ht="0.75" customHeight="1" x14ac:dyDescent="0.2">
      <c r="F5" s="127"/>
      <c r="G5" s="139"/>
    </row>
    <row r="6" spans="1:10" ht="13.5" customHeight="1" x14ac:dyDescent="0.2">
      <c r="A6" s="31"/>
      <c r="B6" s="130" t="str">
        <f>DFIE!B116</f>
        <v>in CHF</v>
      </c>
      <c r="C6" s="140"/>
      <c r="H6" s="31"/>
    </row>
    <row r="7" spans="1:10" ht="15" customHeight="1" x14ac:dyDescent="0.2">
      <c r="A7" s="72"/>
      <c r="B7" s="134"/>
      <c r="C7" s="135" t="str">
        <f>DFIE!B117</f>
        <v>GLA 1</v>
      </c>
      <c r="D7" s="135" t="str">
        <f>DFIE!B118</f>
        <v>GLA 2</v>
      </c>
      <c r="E7" s="135" t="str">
        <f>DFIE!B119</f>
        <v>GLA 3</v>
      </c>
      <c r="F7" s="135" t="str">
        <f>DFIE!B120</f>
        <v>GLA 4</v>
      </c>
      <c r="G7" s="399" t="str">
        <f>DFIE!B125</f>
        <v>GLA Total</v>
      </c>
    </row>
    <row r="8" spans="1:10" ht="23.25" customHeight="1" x14ac:dyDescent="0.2">
      <c r="A8" s="72"/>
      <c r="B8" s="132"/>
      <c r="C8" s="133" t="str">
        <f>DFIE!B121</f>
        <v>Siedlungshöhe</v>
      </c>
      <c r="D8" s="133" t="str">
        <f>DFIE!B122</f>
        <v>Steilheit des
Geländes</v>
      </c>
      <c r="E8" s="133" t="str">
        <f>DFIE!B123</f>
        <v>Siedlungsstruktur</v>
      </c>
      <c r="F8" s="133" t="str">
        <f>DFIE!B124</f>
        <v>Geringe Bevölke-
rungsdichte</v>
      </c>
      <c r="G8" s="400"/>
    </row>
    <row r="9" spans="1:10" x14ac:dyDescent="0.2">
      <c r="A9" s="97"/>
      <c r="B9" s="123" t="str">
        <f>DFIE!$B22</f>
        <v>Zürich</v>
      </c>
      <c r="C9" s="84">
        <f>GLA_1!$H7</f>
        <v>0</v>
      </c>
      <c r="D9" s="84">
        <f>GLA_1!P7</f>
        <v>0</v>
      </c>
      <c r="E9" s="84">
        <f>GLA_1!H41</f>
        <v>0</v>
      </c>
      <c r="F9" s="84">
        <f>GLA_1!P41</f>
        <v>0</v>
      </c>
      <c r="G9" s="128">
        <f t="shared" ref="G9:G34" si="0">SUM(C9:F9)</f>
        <v>0</v>
      </c>
      <c r="J9" s="139"/>
    </row>
    <row r="10" spans="1:10" x14ac:dyDescent="0.2">
      <c r="A10" s="97"/>
      <c r="B10" s="109" t="str">
        <f>DFIE!$B23</f>
        <v>Bern</v>
      </c>
      <c r="C10" s="113">
        <f>GLA_1!$H8</f>
        <v>1910618.169850454</v>
      </c>
      <c r="D10" s="113">
        <f>GLA_1!P8</f>
        <v>1347132.5793861637</v>
      </c>
      <c r="E10" s="113">
        <f>GLA_1!H42</f>
        <v>20876176.46729029</v>
      </c>
      <c r="F10" s="113">
        <f>GLA_1!P42</f>
        <v>3900570.6770679168</v>
      </c>
      <c r="G10" s="138">
        <f t="shared" si="0"/>
        <v>28034497.893594824</v>
      </c>
      <c r="J10" s="139"/>
    </row>
    <row r="11" spans="1:10" x14ac:dyDescent="0.2">
      <c r="A11" s="97"/>
      <c r="B11" s="123" t="str">
        <f>DFIE!$B24</f>
        <v>Luzern</v>
      </c>
      <c r="C11" s="84">
        <f>GLA_1!$H9</f>
        <v>0</v>
      </c>
      <c r="D11" s="84">
        <f>GLA_1!P9</f>
        <v>0</v>
      </c>
      <c r="E11" s="84">
        <f>GLA_1!H43</f>
        <v>6067233.5489580659</v>
      </c>
      <c r="F11" s="84">
        <f>GLA_1!P43</f>
        <v>0</v>
      </c>
      <c r="G11" s="128">
        <f t="shared" si="0"/>
        <v>6067233.5489580659</v>
      </c>
      <c r="J11" s="139"/>
    </row>
    <row r="12" spans="1:10" x14ac:dyDescent="0.2">
      <c r="A12" s="97"/>
      <c r="B12" s="109" t="str">
        <f>DFIE!$B25</f>
        <v>Uri</v>
      </c>
      <c r="C12" s="113">
        <f>GLA_1!$H10</f>
        <v>529614.23051357875</v>
      </c>
      <c r="D12" s="113">
        <f>GLA_1!P10</f>
        <v>5687786.2116314638</v>
      </c>
      <c r="E12" s="113">
        <f>GLA_1!H44</f>
        <v>1671856.8095514316</v>
      </c>
      <c r="F12" s="113">
        <f>GLA_1!P44</f>
        <v>3786683.142098384</v>
      </c>
      <c r="G12" s="138">
        <f t="shared" si="0"/>
        <v>11675940.393794857</v>
      </c>
      <c r="J12" s="139"/>
    </row>
    <row r="13" spans="1:10" x14ac:dyDescent="0.2">
      <c r="A13" s="97"/>
      <c r="B13" s="123" t="str">
        <f>DFIE!$B26</f>
        <v>Schwyz</v>
      </c>
      <c r="C13" s="84">
        <f>GLA_1!$H11</f>
        <v>2385316.2824428435</v>
      </c>
      <c r="D13" s="84">
        <f>GLA_1!P11</f>
        <v>2076184.6600616048</v>
      </c>
      <c r="E13" s="84">
        <f>GLA_1!H45</f>
        <v>1574994.8612994712</v>
      </c>
      <c r="F13" s="84">
        <f>GLA_1!P45</f>
        <v>605127.31238568178</v>
      </c>
      <c r="G13" s="128">
        <f t="shared" si="0"/>
        <v>6641623.1161896018</v>
      </c>
      <c r="J13" s="139"/>
    </row>
    <row r="14" spans="1:10" x14ac:dyDescent="0.2">
      <c r="A14" s="97"/>
      <c r="B14" s="109" t="str">
        <f>DFIE!$B27</f>
        <v>Obwalden</v>
      </c>
      <c r="C14" s="113">
        <f>GLA_1!$H12</f>
        <v>476662.16652793874</v>
      </c>
      <c r="D14" s="113">
        <f>GLA_1!P12</f>
        <v>2859530.7740878039</v>
      </c>
      <c r="E14" s="113">
        <f>GLA_1!H46</f>
        <v>1430718.5481625127</v>
      </c>
      <c r="F14" s="113">
        <f>GLA_1!P46</f>
        <v>1293707.0618762844</v>
      </c>
      <c r="G14" s="138">
        <f t="shared" si="0"/>
        <v>6060618.5506545398</v>
      </c>
      <c r="J14" s="139"/>
    </row>
    <row r="15" spans="1:10" x14ac:dyDescent="0.2">
      <c r="A15" s="97"/>
      <c r="B15" s="123" t="str">
        <f>DFIE!$B28</f>
        <v>Nidwalden</v>
      </c>
      <c r="C15" s="84">
        <f>GLA_1!$H13</f>
        <v>0</v>
      </c>
      <c r="D15" s="84">
        <f>GLA_1!P13</f>
        <v>530721.6786422201</v>
      </c>
      <c r="E15" s="84">
        <f>GLA_1!H47</f>
        <v>465911.38387464959</v>
      </c>
      <c r="F15" s="84">
        <f>GLA_1!P47</f>
        <v>282984.43374149059</v>
      </c>
      <c r="G15" s="128">
        <f t="shared" si="0"/>
        <v>1279617.4962583603</v>
      </c>
      <c r="J15" s="139"/>
    </row>
    <row r="16" spans="1:10" x14ac:dyDescent="0.2">
      <c r="A16" s="97"/>
      <c r="B16" s="109" t="str">
        <f>DFIE!$B29</f>
        <v>Glarus</v>
      </c>
      <c r="C16" s="113">
        <f>GLA_1!$H14</f>
        <v>0</v>
      </c>
      <c r="D16" s="113">
        <f>GLA_1!P14</f>
        <v>3305735.3230666239</v>
      </c>
      <c r="E16" s="113">
        <f>GLA_1!H48</f>
        <v>61232.943977243543</v>
      </c>
      <c r="F16" s="113">
        <f>GLA_1!P48</f>
        <v>2056959.4822796956</v>
      </c>
      <c r="G16" s="138">
        <f t="shared" si="0"/>
        <v>5423927.7493235637</v>
      </c>
      <c r="J16" s="139"/>
    </row>
    <row r="17" spans="1:10" x14ac:dyDescent="0.2">
      <c r="A17" s="97"/>
      <c r="B17" s="123" t="str">
        <f>DFIE!$B30</f>
        <v>Zug</v>
      </c>
      <c r="C17" s="84">
        <f>GLA_1!$H15</f>
        <v>0</v>
      </c>
      <c r="D17" s="84">
        <f>GLA_1!P15</f>
        <v>0</v>
      </c>
      <c r="E17" s="84">
        <f>GLA_1!H49</f>
        <v>0</v>
      </c>
      <c r="F17" s="84">
        <f>GLA_1!P49</f>
        <v>0</v>
      </c>
      <c r="G17" s="128">
        <f t="shared" si="0"/>
        <v>0</v>
      </c>
      <c r="J17" s="139"/>
    </row>
    <row r="18" spans="1:10" x14ac:dyDescent="0.2">
      <c r="A18" s="97"/>
      <c r="B18" s="109" t="str">
        <f>DFIE!$B31</f>
        <v>Freiburg</v>
      </c>
      <c r="C18" s="113">
        <f>GLA_1!$H16</f>
        <v>1818460.1696526108</v>
      </c>
      <c r="D18" s="113">
        <f>GLA_1!P16</f>
        <v>0</v>
      </c>
      <c r="E18" s="113">
        <f>GLA_1!H50</f>
        <v>6379065.7075458914</v>
      </c>
      <c r="F18" s="113">
        <f>GLA_1!P50</f>
        <v>599050.85385059519</v>
      </c>
      <c r="G18" s="138">
        <f t="shared" si="0"/>
        <v>8796576.7310490981</v>
      </c>
      <c r="J18" s="139"/>
    </row>
    <row r="19" spans="1:10" x14ac:dyDescent="0.2">
      <c r="A19" s="97"/>
      <c r="B19" s="123" t="str">
        <f>DFIE!$B32</f>
        <v>Solothurn</v>
      </c>
      <c r="C19" s="84">
        <f>GLA_1!$H17</f>
        <v>0</v>
      </c>
      <c r="D19" s="84">
        <f>GLA_1!P17</f>
        <v>0</v>
      </c>
      <c r="E19" s="84">
        <f>GLA_1!H51</f>
        <v>0</v>
      </c>
      <c r="F19" s="84">
        <f>GLA_1!P51</f>
        <v>0</v>
      </c>
      <c r="G19" s="128">
        <f t="shared" si="0"/>
        <v>0</v>
      </c>
      <c r="J19" s="139"/>
    </row>
    <row r="20" spans="1:10" x14ac:dyDescent="0.2">
      <c r="A20" s="97"/>
      <c r="B20" s="109" t="str">
        <f>DFIE!$B33</f>
        <v>Basel-Stadt</v>
      </c>
      <c r="C20" s="113">
        <f>GLA_1!$H18</f>
        <v>0</v>
      </c>
      <c r="D20" s="113">
        <f>GLA_1!P18</f>
        <v>0</v>
      </c>
      <c r="E20" s="113">
        <f>GLA_1!H52</f>
        <v>0</v>
      </c>
      <c r="F20" s="113">
        <f>GLA_1!P52</f>
        <v>0</v>
      </c>
      <c r="G20" s="138">
        <f t="shared" si="0"/>
        <v>0</v>
      </c>
      <c r="J20" s="139"/>
    </row>
    <row r="21" spans="1:10" ht="12.75" customHeight="1" x14ac:dyDescent="0.2">
      <c r="A21" s="97"/>
      <c r="B21" s="123" t="str">
        <f>DFIE!$B34</f>
        <v>Basel-Landschaft</v>
      </c>
      <c r="C21" s="84">
        <f>GLA_1!$H19</f>
        <v>0</v>
      </c>
      <c r="D21" s="84">
        <f>GLA_1!P19</f>
        <v>0</v>
      </c>
      <c r="E21" s="84">
        <f>GLA_1!H53</f>
        <v>0</v>
      </c>
      <c r="F21" s="84">
        <f>GLA_1!P53</f>
        <v>0</v>
      </c>
      <c r="G21" s="128">
        <f t="shared" si="0"/>
        <v>0</v>
      </c>
      <c r="J21" s="139"/>
    </row>
    <row r="22" spans="1:10" x14ac:dyDescent="0.2">
      <c r="A22" s="97"/>
      <c r="B22" s="109" t="str">
        <f>DFIE!$B35</f>
        <v>Schaffhausen</v>
      </c>
      <c r="C22" s="113">
        <f>GLA_1!$H20</f>
        <v>0</v>
      </c>
      <c r="D22" s="113">
        <f>GLA_1!P20</f>
        <v>0</v>
      </c>
      <c r="E22" s="113">
        <f>GLA_1!H54</f>
        <v>0</v>
      </c>
      <c r="F22" s="113">
        <f>GLA_1!P54</f>
        <v>0</v>
      </c>
      <c r="G22" s="138">
        <f t="shared" si="0"/>
        <v>0</v>
      </c>
      <c r="J22" s="139"/>
    </row>
    <row r="23" spans="1:10" ht="12.75" customHeight="1" x14ac:dyDescent="0.2">
      <c r="A23" s="97"/>
      <c r="B23" s="123" t="str">
        <f>DFIE!$B36</f>
        <v>Appenzell A.Rh.</v>
      </c>
      <c r="C23" s="84">
        <f>GLA_1!$H21</f>
        <v>17154251.65267029</v>
      </c>
      <c r="D23" s="84">
        <f>GLA_1!P21</f>
        <v>193577.04421203688</v>
      </c>
      <c r="E23" s="84">
        <f>GLA_1!H55</f>
        <v>2083498.2638854864</v>
      </c>
      <c r="F23" s="84">
        <f>GLA_1!P55</f>
        <v>0</v>
      </c>
      <c r="G23" s="128">
        <f t="shared" si="0"/>
        <v>19431326.960767813</v>
      </c>
      <c r="J23" s="139"/>
    </row>
    <row r="24" spans="1:10" ht="12.75" customHeight="1" x14ac:dyDescent="0.2">
      <c r="A24" s="97"/>
      <c r="B24" s="109" t="str">
        <f>DFIE!$B37</f>
        <v>Appenzell I.Rh.</v>
      </c>
      <c r="C24" s="113">
        <f>GLA_1!$H22</f>
        <v>5040133.6115641613</v>
      </c>
      <c r="D24" s="113">
        <f>GLA_1!P22</f>
        <v>373921.14206001203</v>
      </c>
      <c r="E24" s="113">
        <f>GLA_1!H56</f>
        <v>2642499.5714482516</v>
      </c>
      <c r="F24" s="113">
        <f>GLA_1!P56</f>
        <v>395916.95268694998</v>
      </c>
      <c r="G24" s="138">
        <f t="shared" si="0"/>
        <v>8452471.2777593751</v>
      </c>
      <c r="J24" s="139"/>
    </row>
    <row r="25" spans="1:10" x14ac:dyDescent="0.2">
      <c r="A25" s="97"/>
      <c r="B25" s="123" t="str">
        <f>DFIE!$B38</f>
        <v>St. Gallen</v>
      </c>
      <c r="C25" s="84">
        <f>GLA_1!$H23</f>
        <v>0</v>
      </c>
      <c r="D25" s="84">
        <f>GLA_1!P23</f>
        <v>0</v>
      </c>
      <c r="E25" s="84">
        <f>GLA_1!H57</f>
        <v>2065870.8586793852</v>
      </c>
      <c r="F25" s="84">
        <f>GLA_1!P57</f>
        <v>0</v>
      </c>
      <c r="G25" s="128">
        <f t="shared" si="0"/>
        <v>2065870.8586793852</v>
      </c>
      <c r="J25" s="139"/>
    </row>
    <row r="26" spans="1:10" x14ac:dyDescent="0.2">
      <c r="A26" s="97"/>
      <c r="B26" s="109" t="str">
        <f>DFIE!$B39</f>
        <v>Graubünden</v>
      </c>
      <c r="C26" s="113">
        <f>GLA_1!$H24</f>
        <v>39792441.038533278</v>
      </c>
      <c r="D26" s="113">
        <f>GLA_1!P24</f>
        <v>62934937.492323026</v>
      </c>
      <c r="E26" s="113">
        <f>GLA_1!H58</f>
        <v>9094008.1900041327</v>
      </c>
      <c r="F26" s="113">
        <f>GLA_1!P58</f>
        <v>25840503.278806463</v>
      </c>
      <c r="G26" s="138">
        <f t="shared" si="0"/>
        <v>137661889.99966693</v>
      </c>
      <c r="J26" s="139"/>
    </row>
    <row r="27" spans="1:10" x14ac:dyDescent="0.2">
      <c r="A27" s="97"/>
      <c r="B27" s="123" t="str">
        <f>DFIE!$B40</f>
        <v>Aargau</v>
      </c>
      <c r="C27" s="84">
        <f>GLA_1!$H25</f>
        <v>0</v>
      </c>
      <c r="D27" s="84">
        <f>GLA_1!P25</f>
        <v>0</v>
      </c>
      <c r="E27" s="84">
        <f>GLA_1!H59</f>
        <v>0</v>
      </c>
      <c r="F27" s="84">
        <f>GLA_1!P59</f>
        <v>0</v>
      </c>
      <c r="G27" s="128">
        <f t="shared" si="0"/>
        <v>0</v>
      </c>
      <c r="J27" s="139"/>
    </row>
    <row r="28" spans="1:10" x14ac:dyDescent="0.2">
      <c r="A28" s="97"/>
      <c r="B28" s="109" t="str">
        <f>DFIE!$B41</f>
        <v>Thurgau</v>
      </c>
      <c r="C28" s="113">
        <f>GLA_1!$H26</f>
        <v>0</v>
      </c>
      <c r="D28" s="113">
        <f>GLA_1!P26</f>
        <v>0</v>
      </c>
      <c r="E28" s="113">
        <f>GLA_1!H60</f>
        <v>3776353.9841479906</v>
      </c>
      <c r="F28" s="113">
        <f>GLA_1!P60</f>
        <v>0</v>
      </c>
      <c r="G28" s="138">
        <f t="shared" si="0"/>
        <v>3776353.9841479906</v>
      </c>
      <c r="J28" s="139"/>
    </row>
    <row r="29" spans="1:10" x14ac:dyDescent="0.2">
      <c r="A29" s="97"/>
      <c r="B29" s="123" t="str">
        <f>DFIE!$B42</f>
        <v>Tessin</v>
      </c>
      <c r="C29" s="84">
        <f>GLA_1!$H27</f>
        <v>0</v>
      </c>
      <c r="D29" s="84">
        <f>GLA_1!P27</f>
        <v>9814477.6333022751</v>
      </c>
      <c r="E29" s="84">
        <f>GLA_1!H61</f>
        <v>0</v>
      </c>
      <c r="F29" s="84">
        <f>GLA_1!P61</f>
        <v>4522696.3040743843</v>
      </c>
      <c r="G29" s="128">
        <f t="shared" si="0"/>
        <v>14337173.937376659</v>
      </c>
      <c r="J29" s="139"/>
    </row>
    <row r="30" spans="1:10" x14ac:dyDescent="0.2">
      <c r="A30" s="97"/>
      <c r="B30" s="109" t="str">
        <f>DFIE!$B43</f>
        <v>Waadt</v>
      </c>
      <c r="C30" s="113">
        <f>GLA_1!$H28</f>
        <v>81410.673064910181</v>
      </c>
      <c r="D30" s="113">
        <f>GLA_1!P28</f>
        <v>0</v>
      </c>
      <c r="E30" s="113">
        <f>GLA_1!H62</f>
        <v>0</v>
      </c>
      <c r="F30" s="113">
        <f>GLA_1!P62</f>
        <v>0</v>
      </c>
      <c r="G30" s="138">
        <f t="shared" si="0"/>
        <v>81410.673064910181</v>
      </c>
      <c r="J30" s="139"/>
    </row>
    <row r="31" spans="1:10" x14ac:dyDescent="0.2">
      <c r="A31" s="97"/>
      <c r="B31" s="123" t="str">
        <f>DFIE!$B44</f>
        <v>Wallis</v>
      </c>
      <c r="C31" s="84">
        <f>GLA_1!$H29</f>
        <v>29046529.389297232</v>
      </c>
      <c r="D31" s="84">
        <f>GLA_1!P29</f>
        <v>29386044.789174192</v>
      </c>
      <c r="E31" s="84">
        <f>GLA_1!H63</f>
        <v>452248.6069649299</v>
      </c>
      <c r="F31" s="84">
        <f>GLA_1!P63</f>
        <v>14996422.112093514</v>
      </c>
      <c r="G31" s="128">
        <f t="shared" si="0"/>
        <v>73881244.89752987</v>
      </c>
      <c r="J31" s="139"/>
    </row>
    <row r="32" spans="1:10" x14ac:dyDescent="0.2">
      <c r="A32" s="97"/>
      <c r="B32" s="109" t="str">
        <f>DFIE!$B45</f>
        <v>Neuenburg</v>
      </c>
      <c r="C32" s="113">
        <f>GLA_1!$H30</f>
        <v>21464752.05089752</v>
      </c>
      <c r="D32" s="113">
        <f>GLA_1!P30</f>
        <v>2092111.9664562696</v>
      </c>
      <c r="E32" s="113">
        <f>GLA_1!H64</f>
        <v>0</v>
      </c>
      <c r="F32" s="113">
        <f>GLA_1!P64</f>
        <v>0</v>
      </c>
      <c r="G32" s="138">
        <f t="shared" si="0"/>
        <v>23556864.017353788</v>
      </c>
      <c r="J32" s="139"/>
    </row>
    <row r="33" spans="1:10" x14ac:dyDescent="0.2">
      <c r="A33" s="97"/>
      <c r="B33" s="123" t="str">
        <f>DFIE!$B46</f>
        <v>Genf</v>
      </c>
      <c r="C33" s="84">
        <f>GLA_1!$H31</f>
        <v>0</v>
      </c>
      <c r="D33" s="84">
        <f>GLA_1!P31</f>
        <v>0</v>
      </c>
      <c r="E33" s="84">
        <f>GLA_1!H65</f>
        <v>0</v>
      </c>
      <c r="F33" s="84">
        <f>GLA_1!P65</f>
        <v>0</v>
      </c>
      <c r="G33" s="128">
        <f t="shared" si="0"/>
        <v>0</v>
      </c>
      <c r="J33" s="139"/>
    </row>
    <row r="34" spans="1:10" x14ac:dyDescent="0.2">
      <c r="A34" s="97"/>
      <c r="B34" s="109" t="str">
        <f>DFIE!$B47</f>
        <v>Jura</v>
      </c>
      <c r="C34" s="113">
        <f>GLA_1!$H32</f>
        <v>901971.85938888171</v>
      </c>
      <c r="D34" s="113">
        <f>GLA_1!P32</f>
        <v>0</v>
      </c>
      <c r="E34" s="113">
        <f>GLA_1!H66</f>
        <v>1659410.9014121306</v>
      </c>
      <c r="F34" s="113">
        <f>GLA_1!P66</f>
        <v>2020459.0362404902</v>
      </c>
      <c r="G34" s="138">
        <f t="shared" si="0"/>
        <v>4581841.7970415018</v>
      </c>
      <c r="J34" s="139"/>
    </row>
    <row r="35" spans="1:10" ht="15" customHeight="1" x14ac:dyDescent="0.2">
      <c r="A35" s="72"/>
      <c r="B35" s="124" t="str">
        <f>DFIE!$B48</f>
        <v>Schweiz</v>
      </c>
      <c r="C35" s="83">
        <f>SUM(C9:C34)</f>
        <v>120602161.29440372</v>
      </c>
      <c r="D35" s="83">
        <f>SUM(D9:D34)</f>
        <v>120602161.29440367</v>
      </c>
      <c r="E35" s="83">
        <f>SUM(E9:E34)</f>
        <v>60301080.647201858</v>
      </c>
      <c r="F35" s="83">
        <f>SUM(F9:F34)</f>
        <v>60301080.647201851</v>
      </c>
      <c r="G35" s="129">
        <f>SUM(G9:G34)</f>
        <v>361806483.88321108</v>
      </c>
      <c r="J35" s="137"/>
    </row>
    <row r="36" spans="1:10" x14ac:dyDescent="0.2">
      <c r="B36" s="131"/>
      <c r="H36" s="31"/>
    </row>
    <row r="37" spans="1:10" x14ac:dyDescent="0.2">
      <c r="H37" s="31"/>
    </row>
    <row r="38" spans="1:10" x14ac:dyDescent="0.2">
      <c r="H38" s="31"/>
    </row>
    <row r="39" spans="1:10" x14ac:dyDescent="0.2">
      <c r="H39" s="31"/>
    </row>
    <row r="40" spans="1:10" x14ac:dyDescent="0.2">
      <c r="H40" s="31"/>
    </row>
  </sheetData>
  <mergeCells count="1">
    <mergeCell ref="G7:G8"/>
  </mergeCells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B1:L35"/>
  <sheetViews>
    <sheetView showGridLines="0" workbookViewId="0">
      <selection activeCell="A87" sqref="A87"/>
    </sheetView>
  </sheetViews>
  <sheetFormatPr baseColWidth="10" defaultColWidth="9.140625" defaultRowHeight="12.75" x14ac:dyDescent="0.2"/>
  <cols>
    <col min="1" max="1" width="1.42578125" customWidth="1"/>
    <col min="2" max="2" width="16.85546875" customWidth="1"/>
    <col min="3" max="3" width="1.42578125" customWidth="1"/>
    <col min="4" max="4" width="15.28515625" customWidth="1"/>
    <col min="5" max="5" width="1.42578125" customWidth="1"/>
    <col min="6" max="8" width="15.28515625" customWidth="1"/>
    <col min="9" max="9" width="1.42578125" customWidth="1"/>
    <col min="10" max="12" width="15.28515625" customWidth="1"/>
  </cols>
  <sheetData>
    <row r="1" spans="2:12" ht="23.25" customHeight="1" x14ac:dyDescent="0.25">
      <c r="C1" s="156"/>
      <c r="D1" s="157" t="str">
        <f>DFIE!B126</f>
        <v>SLA A</v>
      </c>
      <c r="F1" s="157" t="str">
        <f>DFIE!B128</f>
        <v>SLA B</v>
      </c>
      <c r="G1" s="157"/>
      <c r="H1" s="156"/>
      <c r="J1" s="157" t="str">
        <f>DFIE!B130</f>
        <v>SLA C</v>
      </c>
      <c r="K1" s="157"/>
      <c r="L1" s="156"/>
    </row>
    <row r="2" spans="2:12" ht="12.75" customHeight="1" x14ac:dyDescent="0.25">
      <c r="D2" s="119"/>
      <c r="E2" s="32"/>
      <c r="F2" s="119"/>
      <c r="G2" s="119"/>
      <c r="H2" s="32"/>
      <c r="I2" s="32"/>
      <c r="J2" s="119"/>
      <c r="K2" s="119"/>
      <c r="L2" s="32"/>
    </row>
    <row r="3" spans="2:12" ht="36" customHeight="1" x14ac:dyDescent="0.2">
      <c r="B3" s="191" t="str">
        <f>DFIE!B53</f>
        <v>Indikator</v>
      </c>
      <c r="C3" s="154"/>
      <c r="D3" s="190" t="str">
        <f>DFIE!B127</f>
        <v>Armut
(Armutsindikator
des BFS)</v>
      </c>
      <c r="E3" s="192"/>
      <c r="F3" s="401" t="str">
        <f>DFIE!B129</f>
        <v>Altersstruktur
(Anteil der Bevölkerung über 80 Jahre
an der Wohnbevölkerung)</v>
      </c>
      <c r="G3" s="402"/>
      <c r="H3" s="403"/>
      <c r="I3" s="192"/>
      <c r="J3" s="401" t="str">
        <f>DFIE!B131</f>
        <v>Ausländerintegration
(Anteil der massgebenden ausländischen
Bevölkerung an der Wohnbevölkerung)</v>
      </c>
      <c r="K3" s="402"/>
      <c r="L3" s="403"/>
    </row>
    <row r="4" spans="2:12" ht="12" customHeight="1" x14ac:dyDescent="0.2">
      <c r="B4" s="96" t="str">
        <f>DFIE!B49</f>
        <v>Spalte</v>
      </c>
      <c r="C4" s="158"/>
      <c r="D4" s="159" t="s">
        <v>50</v>
      </c>
      <c r="E4" s="160"/>
      <c r="F4" s="161" t="s">
        <v>52</v>
      </c>
      <c r="G4" s="162" t="s">
        <v>53</v>
      </c>
      <c r="H4" s="163" t="s">
        <v>54</v>
      </c>
      <c r="I4" s="160"/>
      <c r="J4" s="161" t="s">
        <v>60</v>
      </c>
      <c r="K4" s="162" t="s">
        <v>55</v>
      </c>
      <c r="L4" s="163" t="s">
        <v>56</v>
      </c>
    </row>
    <row r="5" spans="2:12" ht="12" customHeight="1" x14ac:dyDescent="0.2">
      <c r="B5" s="96" t="str">
        <f>DFIE!B50</f>
        <v>Formel</v>
      </c>
      <c r="C5" s="158"/>
      <c r="D5" s="164"/>
      <c r="E5" s="165"/>
      <c r="F5" s="166"/>
      <c r="G5" s="167"/>
      <c r="H5" s="168" t="s">
        <v>83</v>
      </c>
      <c r="I5" s="165"/>
      <c r="J5" s="166"/>
      <c r="K5" s="167"/>
      <c r="L5" s="168" t="s">
        <v>84</v>
      </c>
    </row>
    <row r="6" spans="2:12" ht="39" customHeight="1" x14ac:dyDescent="0.2">
      <c r="B6" s="193"/>
      <c r="C6" s="155"/>
      <c r="D6" s="194" t="str">
        <f>DFIE!$B$132</f>
        <v>Indikator</v>
      </c>
      <c r="E6" s="183"/>
      <c r="F6" s="195" t="str">
        <f>DFIE!$B$133</f>
        <v>Ständige Wohn-
bevölkerung</v>
      </c>
      <c r="G6" s="175" t="str">
        <f>DFIE!B134</f>
        <v>Bevölkerung
über 80 Jahre</v>
      </c>
      <c r="H6" s="141" t="str">
        <f>DFIE!$B$132</f>
        <v>Indikator</v>
      </c>
      <c r="I6" s="183"/>
      <c r="J6" s="142" t="str">
        <f>DFIE!$B$133</f>
        <v>Ständige Wohn-
bevölkerung</v>
      </c>
      <c r="K6" s="118" t="str">
        <f>DFIE!B135</f>
        <v>Massgebende
ausländische
Bevölkerung</v>
      </c>
      <c r="L6" s="143" t="str">
        <f>DFIE!$B$132</f>
        <v>Indikator</v>
      </c>
    </row>
    <row r="7" spans="2:12" ht="12.75" customHeight="1" x14ac:dyDescent="0.2">
      <c r="B7" s="169" t="str">
        <f>DFIE!B51</f>
        <v>Erhebungsjahr</v>
      </c>
      <c r="C7" s="170"/>
      <c r="D7" s="151">
        <v>2016</v>
      </c>
      <c r="E7" s="171"/>
      <c r="F7" s="172">
        <f>GLA_1!D5</f>
        <v>2016</v>
      </c>
      <c r="G7" s="152">
        <v>2016</v>
      </c>
      <c r="H7" s="173"/>
      <c r="I7" s="171"/>
      <c r="J7" s="172">
        <f>GLA_1!D5</f>
        <v>2016</v>
      </c>
      <c r="K7" s="152">
        <v>2016</v>
      </c>
      <c r="L7" s="173"/>
    </row>
    <row r="8" spans="2:12" ht="12.75" customHeight="1" x14ac:dyDescent="0.2">
      <c r="B8" s="169" t="str">
        <f>DFIE!B52</f>
        <v>Einheit</v>
      </c>
      <c r="C8" s="170"/>
      <c r="D8" s="144" t="str">
        <f>DFIE!$B$58</f>
        <v>Prozent</v>
      </c>
      <c r="E8" s="174"/>
      <c r="F8" s="80" t="str">
        <f>DFIE!$B$56</f>
        <v>Anzahl</v>
      </c>
      <c r="G8" s="73" t="str">
        <f>DFIE!$B$56</f>
        <v>Anzahl</v>
      </c>
      <c r="H8" s="176" t="str">
        <f>DFIE!$B$58</f>
        <v>Prozent</v>
      </c>
      <c r="I8" s="174"/>
      <c r="J8" s="80" t="str">
        <f>DFIE!$B$56</f>
        <v>Anzahl</v>
      </c>
      <c r="K8" s="73" t="str">
        <f>DFIE!$B$56</f>
        <v>Anzahl</v>
      </c>
      <c r="L8" s="176" t="str">
        <f>DFIE!$B$58</f>
        <v>Prozent</v>
      </c>
    </row>
    <row r="9" spans="2:12" x14ac:dyDescent="0.2">
      <c r="B9" s="123" t="str">
        <f>DFIE!$B22</f>
        <v>Zürich</v>
      </c>
      <c r="C9" s="153"/>
      <c r="D9" s="177">
        <v>5.8788473532336197E-2</v>
      </c>
      <c r="F9" s="146">
        <f>GLA_1!D7</f>
        <v>1487969</v>
      </c>
      <c r="G9" s="82">
        <v>71232</v>
      </c>
      <c r="H9" s="180">
        <f t="shared" ref="H9:H35" si="0">G9/F9</f>
        <v>4.7871965074541202E-2</v>
      </c>
      <c r="J9" s="148">
        <f>GLA_1!D7</f>
        <v>1487969</v>
      </c>
      <c r="K9" s="149">
        <v>152488</v>
      </c>
      <c r="L9" s="182">
        <f t="shared" ref="L9:L35" si="1">K9/J9</f>
        <v>0.10248062963677335</v>
      </c>
    </row>
    <row r="10" spans="2:12" x14ac:dyDescent="0.2">
      <c r="B10" s="109" t="str">
        <f>DFIE!$B23</f>
        <v>Bern</v>
      </c>
      <c r="C10" s="153"/>
      <c r="D10" s="185">
        <v>6.6296266193757905E-2</v>
      </c>
      <c r="F10" s="187">
        <f>GLA_1!D8</f>
        <v>1026513</v>
      </c>
      <c r="G10" s="110">
        <v>59249</v>
      </c>
      <c r="H10" s="188">
        <f t="shared" si="0"/>
        <v>5.7718704000826099E-2</v>
      </c>
      <c r="J10" s="189">
        <f>GLA_1!D8</f>
        <v>1026513</v>
      </c>
      <c r="K10" s="110">
        <v>69537</v>
      </c>
      <c r="L10" s="188">
        <f t="shared" si="1"/>
        <v>6.7740983309514835E-2</v>
      </c>
    </row>
    <row r="11" spans="2:12" x14ac:dyDescent="0.2">
      <c r="B11" s="123" t="str">
        <f>DFIE!$B24</f>
        <v>Luzern</v>
      </c>
      <c r="C11" s="153"/>
      <c r="D11" s="178">
        <v>4.4796298089644603E-2</v>
      </c>
      <c r="F11" s="146">
        <f>GLA_1!D9</f>
        <v>403397</v>
      </c>
      <c r="G11" s="82">
        <v>19764</v>
      </c>
      <c r="H11" s="180">
        <f t="shared" si="0"/>
        <v>4.8993919141689206E-2</v>
      </c>
      <c r="J11" s="150">
        <f>GLA_1!D9</f>
        <v>403397</v>
      </c>
      <c r="K11" s="82">
        <v>29616</v>
      </c>
      <c r="L11" s="180">
        <f t="shared" si="1"/>
        <v>7.3416510286392803E-2</v>
      </c>
    </row>
    <row r="12" spans="2:12" x14ac:dyDescent="0.2">
      <c r="B12" s="109" t="str">
        <f>DFIE!$B25</f>
        <v>Uri</v>
      </c>
      <c r="C12" s="153"/>
      <c r="D12" s="185">
        <v>2.73501327968474E-2</v>
      </c>
      <c r="F12" s="187">
        <f>GLA_1!D10</f>
        <v>36145</v>
      </c>
      <c r="G12" s="110">
        <v>1967</v>
      </c>
      <c r="H12" s="188">
        <f t="shared" si="0"/>
        <v>5.4419698436851571E-2</v>
      </c>
      <c r="J12" s="189">
        <f>GLA_1!D10</f>
        <v>36145</v>
      </c>
      <c r="K12" s="110">
        <v>2033</v>
      </c>
      <c r="L12" s="188">
        <f t="shared" si="1"/>
        <v>5.6245677133766769E-2</v>
      </c>
    </row>
    <row r="13" spans="2:12" x14ac:dyDescent="0.2">
      <c r="B13" s="123" t="str">
        <f>DFIE!$B26</f>
        <v>Schwyz</v>
      </c>
      <c r="C13" s="153"/>
      <c r="D13" s="178">
        <v>2.8180596932653099E-2</v>
      </c>
      <c r="F13" s="146">
        <f>GLA_1!D11</f>
        <v>155863</v>
      </c>
      <c r="G13" s="82">
        <v>6881</v>
      </c>
      <c r="H13" s="180">
        <f t="shared" si="0"/>
        <v>4.414774513515074E-2</v>
      </c>
      <c r="J13" s="150">
        <f>GLA_1!D11</f>
        <v>155863</v>
      </c>
      <c r="K13" s="82">
        <v>10765</v>
      </c>
      <c r="L13" s="180">
        <f t="shared" si="1"/>
        <v>6.9067065307353251E-2</v>
      </c>
    </row>
    <row r="14" spans="2:12" x14ac:dyDescent="0.2">
      <c r="B14" s="109" t="str">
        <f>DFIE!$B27</f>
        <v>Obwalden</v>
      </c>
      <c r="C14" s="153"/>
      <c r="D14" s="185">
        <v>2.7823522346832101E-2</v>
      </c>
      <c r="F14" s="187">
        <f>GLA_1!D12</f>
        <v>37378</v>
      </c>
      <c r="G14" s="110">
        <v>1730</v>
      </c>
      <c r="H14" s="188">
        <f t="shared" si="0"/>
        <v>4.6283910321579538E-2</v>
      </c>
      <c r="J14" s="189">
        <f>GLA_1!D12</f>
        <v>37378</v>
      </c>
      <c r="K14" s="110">
        <v>2294</v>
      </c>
      <c r="L14" s="188">
        <f t="shared" si="1"/>
        <v>6.1373000160522231E-2</v>
      </c>
    </row>
    <row r="15" spans="2:12" x14ac:dyDescent="0.2">
      <c r="B15" s="123" t="str">
        <f>DFIE!$B28</f>
        <v>Nidwalden</v>
      </c>
      <c r="C15" s="153"/>
      <c r="D15" s="178">
        <v>2.30266027339667E-2</v>
      </c>
      <c r="F15" s="146">
        <f>GLA_1!D13</f>
        <v>42556</v>
      </c>
      <c r="G15" s="82">
        <v>2048</v>
      </c>
      <c r="H15" s="180">
        <f t="shared" si="0"/>
        <v>4.8124823761631734E-2</v>
      </c>
      <c r="J15" s="150">
        <f>GLA_1!D13</f>
        <v>42556</v>
      </c>
      <c r="K15" s="82">
        <v>2195</v>
      </c>
      <c r="L15" s="180">
        <f t="shared" si="1"/>
        <v>5.1579095779678542E-2</v>
      </c>
    </row>
    <row r="16" spans="2:12" x14ac:dyDescent="0.2">
      <c r="B16" s="109" t="str">
        <f>DFIE!$B29</f>
        <v>Glarus</v>
      </c>
      <c r="C16" s="153"/>
      <c r="D16" s="185">
        <v>3.8174602250150499E-2</v>
      </c>
      <c r="F16" s="187">
        <f>GLA_1!D14</f>
        <v>40147</v>
      </c>
      <c r="G16" s="110">
        <v>2234</v>
      </c>
      <c r="H16" s="188">
        <f t="shared" si="0"/>
        <v>5.5645502777293444E-2</v>
      </c>
      <c r="J16" s="189">
        <f>GLA_1!D14</f>
        <v>40147</v>
      </c>
      <c r="K16" s="110">
        <v>3514</v>
      </c>
      <c r="L16" s="188">
        <f t="shared" si="1"/>
        <v>8.7528333374847431E-2</v>
      </c>
    </row>
    <row r="17" spans="2:12" x14ac:dyDescent="0.2">
      <c r="B17" s="123" t="str">
        <f>DFIE!$B30</f>
        <v>Zug</v>
      </c>
      <c r="C17" s="153"/>
      <c r="D17" s="178">
        <v>3.9095300061548703E-2</v>
      </c>
      <c r="F17" s="146">
        <f>GLA_1!D15</f>
        <v>123948</v>
      </c>
      <c r="G17" s="82">
        <v>5166</v>
      </c>
      <c r="H17" s="180">
        <f t="shared" si="0"/>
        <v>4.1678768515829218E-2</v>
      </c>
      <c r="J17" s="150">
        <f>GLA_1!D15</f>
        <v>123948</v>
      </c>
      <c r="K17" s="82">
        <v>15285</v>
      </c>
      <c r="L17" s="180">
        <f t="shared" si="1"/>
        <v>0.12331784296640527</v>
      </c>
    </row>
    <row r="18" spans="2:12" x14ac:dyDescent="0.2">
      <c r="B18" s="109" t="str">
        <f>DFIE!$B31</f>
        <v>Freiburg</v>
      </c>
      <c r="C18" s="153"/>
      <c r="D18" s="185">
        <v>4.8496939338203801E-2</v>
      </c>
      <c r="F18" s="187">
        <f>GLA_1!D16</f>
        <v>311914</v>
      </c>
      <c r="G18" s="110">
        <v>11893</v>
      </c>
      <c r="H18" s="188">
        <f t="shared" si="0"/>
        <v>3.8129099687734438E-2</v>
      </c>
      <c r="J18" s="189">
        <f>GLA_1!D16</f>
        <v>311914</v>
      </c>
      <c r="K18" s="110">
        <v>34432</v>
      </c>
      <c r="L18" s="188">
        <f t="shared" si="1"/>
        <v>0.11038940220701861</v>
      </c>
    </row>
    <row r="19" spans="2:12" x14ac:dyDescent="0.2">
      <c r="B19" s="123" t="str">
        <f>DFIE!$B32</f>
        <v>Solothurn</v>
      </c>
      <c r="C19" s="153"/>
      <c r="D19" s="178">
        <v>8.2312184196381102E-2</v>
      </c>
      <c r="F19" s="146">
        <f>GLA_1!D17</f>
        <v>269441</v>
      </c>
      <c r="G19" s="82">
        <v>14578</v>
      </c>
      <c r="H19" s="180">
        <f t="shared" si="0"/>
        <v>5.4104609172323438E-2</v>
      </c>
      <c r="J19" s="150">
        <f>GLA_1!D17</f>
        <v>269441</v>
      </c>
      <c r="K19" s="82">
        <v>19499</v>
      </c>
      <c r="L19" s="180">
        <f t="shared" si="1"/>
        <v>7.2368347801559527E-2</v>
      </c>
    </row>
    <row r="20" spans="2:12" x14ac:dyDescent="0.2">
      <c r="B20" s="109" t="str">
        <f>DFIE!$B33</f>
        <v>Basel-Stadt</v>
      </c>
      <c r="C20" s="153"/>
      <c r="D20" s="185">
        <v>0.139550470628831</v>
      </c>
      <c r="F20" s="187">
        <f>GLA_1!D18</f>
        <v>193070</v>
      </c>
      <c r="G20" s="110">
        <v>13509</v>
      </c>
      <c r="H20" s="188">
        <f t="shared" si="0"/>
        <v>6.9969441135339511E-2</v>
      </c>
      <c r="J20" s="189">
        <f>GLA_1!D18</f>
        <v>193070</v>
      </c>
      <c r="K20" s="110">
        <v>25933</v>
      </c>
      <c r="L20" s="188">
        <f t="shared" si="1"/>
        <v>0.13431915885430154</v>
      </c>
    </row>
    <row r="21" spans="2:12" ht="12.75" customHeight="1" x14ac:dyDescent="0.2">
      <c r="B21" s="123" t="str">
        <f>DFIE!$B34</f>
        <v>Basel-Landschaft</v>
      </c>
      <c r="C21" s="153"/>
      <c r="D21" s="178">
        <v>4.8192920949446098E-2</v>
      </c>
      <c r="F21" s="146">
        <f>GLA_1!D19</f>
        <v>285624</v>
      </c>
      <c r="G21" s="82">
        <v>17316</v>
      </c>
      <c r="H21" s="180">
        <f t="shared" si="0"/>
        <v>6.062515754978573E-2</v>
      </c>
      <c r="J21" s="150">
        <f>GLA_1!D19</f>
        <v>285624</v>
      </c>
      <c r="K21" s="82">
        <v>21512</v>
      </c>
      <c r="L21" s="180">
        <f t="shared" si="1"/>
        <v>7.5315799792734506E-2</v>
      </c>
    </row>
    <row r="22" spans="2:12" x14ac:dyDescent="0.2">
      <c r="B22" s="109" t="str">
        <f>DFIE!$B35</f>
        <v>Schaffhausen</v>
      </c>
      <c r="C22" s="153"/>
      <c r="D22" s="185">
        <v>5.9729381254869401E-2</v>
      </c>
      <c r="F22" s="187">
        <f>GLA_1!D20</f>
        <v>80769</v>
      </c>
      <c r="G22" s="110">
        <v>4917</v>
      </c>
      <c r="H22" s="188">
        <f t="shared" si="0"/>
        <v>6.0877316792333692E-2</v>
      </c>
      <c r="J22" s="189">
        <f>GLA_1!D20</f>
        <v>80769</v>
      </c>
      <c r="K22" s="110">
        <v>6526</v>
      </c>
      <c r="L22" s="188">
        <f t="shared" si="1"/>
        <v>8.0798326090455494E-2</v>
      </c>
    </row>
    <row r="23" spans="2:12" ht="12.75" customHeight="1" x14ac:dyDescent="0.2">
      <c r="B23" s="123" t="str">
        <f>DFIE!$B36</f>
        <v>Appenzell A.Rh.</v>
      </c>
      <c r="C23" s="153"/>
      <c r="D23" s="178">
        <v>4.20728661701106E-2</v>
      </c>
      <c r="F23" s="146">
        <f>GLA_1!D21</f>
        <v>54954</v>
      </c>
      <c r="G23" s="82">
        <v>2910</v>
      </c>
      <c r="H23" s="180">
        <f t="shared" si="0"/>
        <v>5.2953379189867887E-2</v>
      </c>
      <c r="J23" s="150">
        <f>GLA_1!D21</f>
        <v>54954</v>
      </c>
      <c r="K23" s="82">
        <v>2740</v>
      </c>
      <c r="L23" s="180">
        <f t="shared" si="1"/>
        <v>4.9859882811078358E-2</v>
      </c>
    </row>
    <row r="24" spans="2:12" ht="12.75" customHeight="1" x14ac:dyDescent="0.2">
      <c r="B24" s="109" t="str">
        <f>DFIE!$B37</f>
        <v>Appenzell I.Rh.</v>
      </c>
      <c r="C24" s="153"/>
      <c r="D24" s="185">
        <v>1.92892990470168E-2</v>
      </c>
      <c r="F24" s="187">
        <f>GLA_1!D22</f>
        <v>16003</v>
      </c>
      <c r="G24" s="110">
        <v>883</v>
      </c>
      <c r="H24" s="188">
        <f t="shared" si="0"/>
        <v>5.5177154283571832E-2</v>
      </c>
      <c r="J24" s="189">
        <f>GLA_1!D22</f>
        <v>16003</v>
      </c>
      <c r="K24" s="110">
        <v>707</v>
      </c>
      <c r="L24" s="188">
        <f t="shared" si="1"/>
        <v>4.4179216396925576E-2</v>
      </c>
    </row>
    <row r="25" spans="2:12" x14ac:dyDescent="0.2">
      <c r="B25" s="123" t="str">
        <f>DFIE!$B38</f>
        <v>St. Gallen</v>
      </c>
      <c r="C25" s="153"/>
      <c r="D25" s="178">
        <v>4.7509045759198197E-2</v>
      </c>
      <c r="F25" s="146">
        <f>GLA_1!D23</f>
        <v>502552</v>
      </c>
      <c r="G25" s="82">
        <v>23821</v>
      </c>
      <c r="H25" s="180">
        <f t="shared" si="0"/>
        <v>4.7400070042503066E-2</v>
      </c>
      <c r="J25" s="150">
        <f>GLA_1!D23</f>
        <v>502552</v>
      </c>
      <c r="K25" s="82">
        <v>37663</v>
      </c>
      <c r="L25" s="180">
        <f t="shared" si="1"/>
        <v>7.4943488435027614E-2</v>
      </c>
    </row>
    <row r="26" spans="2:12" x14ac:dyDescent="0.2">
      <c r="B26" s="109" t="str">
        <f>DFIE!$B39</f>
        <v>Graubünden</v>
      </c>
      <c r="C26" s="153"/>
      <c r="D26" s="185">
        <v>3.0559308592704702E-2</v>
      </c>
      <c r="F26" s="187">
        <f>GLA_1!D24</f>
        <v>197550</v>
      </c>
      <c r="G26" s="110">
        <v>10770</v>
      </c>
      <c r="H26" s="188">
        <f t="shared" si="0"/>
        <v>5.4517843583902811E-2</v>
      </c>
      <c r="J26" s="189">
        <f>GLA_1!D24</f>
        <v>197550</v>
      </c>
      <c r="K26" s="110">
        <v>14528</v>
      </c>
      <c r="L26" s="188">
        <f t="shared" si="1"/>
        <v>7.3540875727663879E-2</v>
      </c>
    </row>
    <row r="27" spans="2:12" x14ac:dyDescent="0.2">
      <c r="B27" s="123" t="str">
        <f>DFIE!$B40</f>
        <v>Aargau</v>
      </c>
      <c r="C27" s="153"/>
      <c r="D27" s="178">
        <v>3.9594448174119702E-2</v>
      </c>
      <c r="F27" s="146">
        <f>GLA_1!D25</f>
        <v>663462</v>
      </c>
      <c r="G27" s="82">
        <v>29055</v>
      </c>
      <c r="H27" s="180">
        <f t="shared" si="0"/>
        <v>4.3793013013556162E-2</v>
      </c>
      <c r="J27" s="150">
        <f>GLA_1!D25</f>
        <v>663462</v>
      </c>
      <c r="K27" s="82">
        <v>52306</v>
      </c>
      <c r="L27" s="180">
        <f t="shared" si="1"/>
        <v>7.8837974141699144E-2</v>
      </c>
    </row>
    <row r="28" spans="2:12" x14ac:dyDescent="0.2">
      <c r="B28" s="109" t="str">
        <f>DFIE!$B41</f>
        <v>Thurgau</v>
      </c>
      <c r="C28" s="153"/>
      <c r="D28" s="185">
        <v>3.4619286752193799E-2</v>
      </c>
      <c r="F28" s="187">
        <f>GLA_1!D26</f>
        <v>270709</v>
      </c>
      <c r="G28" s="110">
        <v>12125</v>
      </c>
      <c r="H28" s="188">
        <f t="shared" si="0"/>
        <v>4.4789792729462263E-2</v>
      </c>
      <c r="J28" s="189">
        <f>GLA_1!D26</f>
        <v>270709</v>
      </c>
      <c r="K28" s="110">
        <v>16915</v>
      </c>
      <c r="L28" s="188">
        <f t="shared" si="1"/>
        <v>6.2484069609802406E-2</v>
      </c>
    </row>
    <row r="29" spans="2:12" x14ac:dyDescent="0.2">
      <c r="B29" s="123" t="str">
        <f>DFIE!$B42</f>
        <v>Tessin</v>
      </c>
      <c r="C29" s="153"/>
      <c r="D29" s="178">
        <v>9.1668451305140203E-2</v>
      </c>
      <c r="F29" s="146">
        <f>GLA_1!D27</f>
        <v>354375</v>
      </c>
      <c r="G29" s="82">
        <v>22768</v>
      </c>
      <c r="H29" s="180">
        <f t="shared" si="0"/>
        <v>6.4248324514991184E-2</v>
      </c>
      <c r="J29" s="150">
        <f>GLA_1!D27</f>
        <v>354375</v>
      </c>
      <c r="K29" s="82">
        <v>19854</v>
      </c>
      <c r="L29" s="180">
        <f t="shared" si="1"/>
        <v>5.6025396825396825E-2</v>
      </c>
    </row>
    <row r="30" spans="2:12" x14ac:dyDescent="0.2">
      <c r="B30" s="109" t="str">
        <f>DFIE!$B43</f>
        <v>Waadt</v>
      </c>
      <c r="C30" s="153"/>
      <c r="D30" s="185">
        <v>9.5886819661303899E-2</v>
      </c>
      <c r="F30" s="187">
        <f>GLA_1!D28</f>
        <v>784822</v>
      </c>
      <c r="G30" s="110">
        <v>36644</v>
      </c>
      <c r="H30" s="188">
        <f t="shared" si="0"/>
        <v>4.6690841999842005E-2</v>
      </c>
      <c r="J30" s="189">
        <f>GLA_1!D28</f>
        <v>784822</v>
      </c>
      <c r="K30" s="110">
        <v>118919</v>
      </c>
      <c r="L30" s="188">
        <f t="shared" si="1"/>
        <v>0.15152353017626927</v>
      </c>
    </row>
    <row r="31" spans="2:12" x14ac:dyDescent="0.2">
      <c r="B31" s="123" t="str">
        <f>DFIE!$B44</f>
        <v>Wallis</v>
      </c>
      <c r="C31" s="153"/>
      <c r="D31" s="178">
        <v>5.9992278060739999E-2</v>
      </c>
      <c r="F31" s="146">
        <f>GLA_1!D29</f>
        <v>339176</v>
      </c>
      <c r="G31" s="82">
        <v>16674</v>
      </c>
      <c r="H31" s="180">
        <f t="shared" si="0"/>
        <v>4.9160317947024551E-2</v>
      </c>
      <c r="J31" s="150">
        <f>GLA_1!D29</f>
        <v>339176</v>
      </c>
      <c r="K31" s="82">
        <v>36898</v>
      </c>
      <c r="L31" s="180">
        <f t="shared" si="1"/>
        <v>0.10878717833808996</v>
      </c>
    </row>
    <row r="32" spans="2:12" x14ac:dyDescent="0.2">
      <c r="B32" s="109" t="str">
        <f>DFIE!$B45</f>
        <v>Neuenburg</v>
      </c>
      <c r="C32" s="153"/>
      <c r="D32" s="185">
        <v>0.101785640635646</v>
      </c>
      <c r="F32" s="187">
        <f>GLA_1!D30</f>
        <v>178567</v>
      </c>
      <c r="G32" s="110">
        <v>10063</v>
      </c>
      <c r="H32" s="188">
        <f t="shared" si="0"/>
        <v>5.6354197584100083E-2</v>
      </c>
      <c r="J32" s="189">
        <f>GLA_1!D30</f>
        <v>178567</v>
      </c>
      <c r="K32" s="110">
        <v>19144</v>
      </c>
      <c r="L32" s="188">
        <f t="shared" si="1"/>
        <v>0.10720905878465786</v>
      </c>
    </row>
    <row r="33" spans="2:12" x14ac:dyDescent="0.2">
      <c r="B33" s="123" t="str">
        <f>DFIE!$B46</f>
        <v>Genf</v>
      </c>
      <c r="C33" s="153"/>
      <c r="D33" s="178">
        <v>0.112627170574888</v>
      </c>
      <c r="F33" s="146">
        <f>GLA_1!D31</f>
        <v>489524</v>
      </c>
      <c r="G33" s="82">
        <v>24086</v>
      </c>
      <c r="H33" s="180">
        <f t="shared" si="0"/>
        <v>4.9202899142840803E-2</v>
      </c>
      <c r="J33" s="150">
        <f>GLA_1!D31</f>
        <v>489524</v>
      </c>
      <c r="K33" s="82">
        <v>93306</v>
      </c>
      <c r="L33" s="180">
        <f t="shared" si="1"/>
        <v>0.1906055678577557</v>
      </c>
    </row>
    <row r="34" spans="2:12" x14ac:dyDescent="0.2">
      <c r="B34" s="184" t="str">
        <f>DFIE!$B47</f>
        <v>Jura</v>
      </c>
      <c r="C34" s="153"/>
      <c r="D34" s="186">
        <v>6.8588534094301601E-2</v>
      </c>
      <c r="F34" s="187">
        <f>GLA_1!D32</f>
        <v>73122</v>
      </c>
      <c r="G34" s="110">
        <v>4269</v>
      </c>
      <c r="H34" s="188">
        <f t="shared" si="0"/>
        <v>5.83818823336342E-2</v>
      </c>
      <c r="J34" s="189">
        <f>GLA_1!D32</f>
        <v>73122</v>
      </c>
      <c r="K34" s="110">
        <v>4375</v>
      </c>
      <c r="L34" s="188">
        <f t="shared" si="1"/>
        <v>5.9831514455293895E-2</v>
      </c>
    </row>
    <row r="35" spans="2:12" x14ac:dyDescent="0.2">
      <c r="B35" s="145" t="str">
        <f>DFIE!$B48</f>
        <v>Schweiz</v>
      </c>
      <c r="D35" s="179"/>
      <c r="F35" s="147">
        <f>SUM(F9:F34)</f>
        <v>8419550</v>
      </c>
      <c r="G35" s="83">
        <f>SUM(G9:G34)</f>
        <v>426552</v>
      </c>
      <c r="H35" s="181">
        <f t="shared" si="0"/>
        <v>5.0662090016687353E-2</v>
      </c>
      <c r="J35" s="147">
        <f>SUM(J9:J34)</f>
        <v>8419550</v>
      </c>
      <c r="K35" s="83">
        <f>SUM(K9:K34)</f>
        <v>812984</v>
      </c>
      <c r="L35" s="181">
        <f t="shared" si="1"/>
        <v>9.6559079760794822E-2</v>
      </c>
    </row>
  </sheetData>
  <mergeCells count="2">
    <mergeCell ref="F3:H3"/>
    <mergeCell ref="J3:L3"/>
  </mergeCells>
  <conditionalFormatting sqref="D9:D34">
    <cfRule type="expression" dxfId="19" priority="6" stopIfTrue="1">
      <formula>ISBLANK(D9)</formula>
    </cfRule>
  </conditionalFormatting>
  <conditionalFormatting sqref="G9:G34">
    <cfRule type="expression" dxfId="18" priority="5" stopIfTrue="1">
      <formula>ISBLANK(G9)</formula>
    </cfRule>
  </conditionalFormatting>
  <conditionalFormatting sqref="K9:K34">
    <cfRule type="expression" dxfId="17" priority="4" stopIfTrue="1">
      <formula>ISBLANK(K9)</formula>
    </cfRule>
  </conditionalFormatting>
  <conditionalFormatting sqref="D7">
    <cfRule type="expression" dxfId="16" priority="3" stopIfTrue="1">
      <formula>ISBLANK(D7)</formula>
    </cfRule>
  </conditionalFormatting>
  <conditionalFormatting sqref="G7">
    <cfRule type="expression" dxfId="15" priority="2" stopIfTrue="1">
      <formula>ISBLANK(G7)</formula>
    </cfRule>
  </conditionalFormatting>
  <conditionalFormatting sqref="K7">
    <cfRule type="expression" dxfId="14" priority="1" stopIfTrue="1">
      <formula>ISBLANK(K7)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B1:O39"/>
  <sheetViews>
    <sheetView showGridLines="0" workbookViewId="0">
      <selection activeCell="A87" sqref="A87"/>
    </sheetView>
  </sheetViews>
  <sheetFormatPr baseColWidth="10" defaultColWidth="9.140625" defaultRowHeight="12.75" x14ac:dyDescent="0.2"/>
  <cols>
    <col min="1" max="1" width="1.42578125" customWidth="1"/>
    <col min="2" max="2" width="17.7109375" customWidth="1"/>
    <col min="3" max="4" width="10.7109375" customWidth="1"/>
    <col min="5" max="5" width="11.140625" customWidth="1"/>
    <col min="6" max="7" width="10.7109375" customWidth="1"/>
    <col min="8" max="8" width="11" customWidth="1"/>
    <col min="9" max="10" width="10.7109375" customWidth="1"/>
    <col min="11" max="11" width="10.85546875" customWidth="1"/>
    <col min="12" max="12" width="10.7109375" customWidth="1"/>
    <col min="13" max="13" width="11.140625" customWidth="1"/>
    <col min="14" max="14" width="13.42578125" customWidth="1"/>
    <col min="15" max="15" width="14.7109375" customWidth="1"/>
  </cols>
  <sheetData>
    <row r="1" spans="2:15" ht="23.25" customHeight="1" x14ac:dyDescent="0.35">
      <c r="B1" s="157" t="str">
        <f>DFIE!B136</f>
        <v>SLA A-C 2019</v>
      </c>
      <c r="C1" s="79"/>
      <c r="D1" s="79"/>
      <c r="E1" s="79"/>
      <c r="F1" s="31"/>
      <c r="G1" s="31"/>
      <c r="H1" s="31"/>
      <c r="L1" s="31"/>
    </row>
    <row r="2" spans="2:15" ht="16.5" customHeight="1" x14ac:dyDescent="0.2">
      <c r="B2" s="259"/>
      <c r="C2" s="259"/>
      <c r="D2" s="259"/>
      <c r="E2" s="259"/>
      <c r="F2" s="31"/>
      <c r="G2" s="31"/>
      <c r="H2" s="31"/>
      <c r="I2" s="31"/>
      <c r="J2" s="31"/>
      <c r="K2" s="31"/>
      <c r="L2" s="31"/>
    </row>
    <row r="3" spans="2:15" ht="12" customHeight="1" x14ac:dyDescent="0.2">
      <c r="B3" s="96" t="str">
        <f>DFIE!B49</f>
        <v>Spalte</v>
      </c>
      <c r="C3" s="236" t="s">
        <v>49</v>
      </c>
      <c r="D3" s="237" t="s">
        <v>50</v>
      </c>
      <c r="E3" s="238" t="s">
        <v>58</v>
      </c>
      <c r="F3" s="236" t="s">
        <v>52</v>
      </c>
      <c r="G3" s="239" t="s">
        <v>53</v>
      </c>
      <c r="H3" s="238" t="s">
        <v>54</v>
      </c>
      <c r="I3" s="236" t="s">
        <v>59</v>
      </c>
      <c r="J3" s="239" t="s">
        <v>60</v>
      </c>
      <c r="K3" s="238" t="s">
        <v>55</v>
      </c>
      <c r="L3" s="239" t="s">
        <v>56</v>
      </c>
      <c r="M3" s="240" t="s">
        <v>57</v>
      </c>
      <c r="N3" s="240" t="s">
        <v>67</v>
      </c>
      <c r="O3" s="241" t="s">
        <v>68</v>
      </c>
    </row>
    <row r="4" spans="2:15" ht="12" customHeight="1" x14ac:dyDescent="0.2">
      <c r="B4" s="169" t="str">
        <f>DFIE!B50</f>
        <v>Formel</v>
      </c>
      <c r="C4" s="242"/>
      <c r="D4" s="243"/>
      <c r="E4" s="244"/>
      <c r="F4" s="245"/>
      <c r="G4" s="246"/>
      <c r="H4" s="247"/>
      <c r="I4" s="275" t="s">
        <v>108</v>
      </c>
      <c r="J4" s="276" t="s">
        <v>109</v>
      </c>
      <c r="K4" s="277" t="s">
        <v>110</v>
      </c>
      <c r="L4" s="252" t="s">
        <v>69</v>
      </c>
      <c r="M4" s="253" t="str">
        <f>DFIE!$B$148</f>
        <v>L - L[Min]</v>
      </c>
      <c r="N4" s="253" t="str">
        <f>DFIE!$B$149</f>
        <v>(M-M[MW]) * Bev</v>
      </c>
      <c r="O4" s="278" t="str">
        <f>DFIE!$B$150</f>
        <v>N / N[Schweiz] * Dot</v>
      </c>
    </row>
    <row r="5" spans="2:15" ht="12" customHeight="1" x14ac:dyDescent="0.2">
      <c r="B5" s="98" t="str">
        <f>DFIE!B137</f>
        <v>Gewicht (ω)</v>
      </c>
      <c r="C5" s="80"/>
      <c r="D5" s="73"/>
      <c r="E5" s="176"/>
      <c r="F5" s="80"/>
      <c r="G5" s="73"/>
      <c r="H5" s="176"/>
      <c r="I5" s="279">
        <v>0.55491007510609303</v>
      </c>
      <c r="J5" s="280">
        <v>0.27611880841922298</v>
      </c>
      <c r="K5" s="281">
        <v>0.433397727490067</v>
      </c>
      <c r="L5" s="246"/>
      <c r="M5" s="248"/>
      <c r="N5" s="248"/>
      <c r="O5" s="249"/>
    </row>
    <row r="6" spans="2:15" ht="28.5" customHeight="1" x14ac:dyDescent="0.2">
      <c r="B6" s="197"/>
      <c r="C6" s="404" t="str">
        <f>DFIE!B138</f>
        <v>Teilindikatoren</v>
      </c>
      <c r="D6" s="405"/>
      <c r="E6" s="406"/>
      <c r="F6" s="404" t="str">
        <f>DFIE!B139</f>
        <v>Standardisierte Teilindikatoren</v>
      </c>
      <c r="G6" s="405"/>
      <c r="H6" s="406"/>
      <c r="I6" s="407" t="str">
        <f>DFIE!B140</f>
        <v>Gewichtete
standardisierte Teilindikatoren</v>
      </c>
      <c r="J6" s="408"/>
      <c r="K6" s="409"/>
      <c r="L6" s="235"/>
      <c r="M6" s="47"/>
      <c r="N6" s="47"/>
      <c r="O6" s="201"/>
    </row>
    <row r="7" spans="2:15" ht="55.9" customHeight="1" x14ac:dyDescent="0.2">
      <c r="B7" s="198"/>
      <c r="C7" s="199" t="str">
        <f>DFIE!$B$141</f>
        <v>Armut
(SLA A)</v>
      </c>
      <c r="D7" s="196" t="str">
        <f>DFIE!$B$142</f>
        <v>Alters-
struktur
(SLA B)</v>
      </c>
      <c r="E7" s="200" t="str">
        <f>DFIE!$B$143</f>
        <v>Ausländer-
integration
(SLA C)</v>
      </c>
      <c r="F7" s="199" t="str">
        <f>DFIE!$B$141</f>
        <v>Armut
(SLA A)</v>
      </c>
      <c r="G7" s="196" t="str">
        <f>DFIE!$B$142</f>
        <v>Alters-
struktur
(SLA B)</v>
      </c>
      <c r="H7" s="200" t="str">
        <f>DFIE!$B$143</f>
        <v>Ausländer-
integration
(SLA C)</v>
      </c>
      <c r="I7" s="199" t="str">
        <f>DFIE!$B$141</f>
        <v>Armut
(SLA A)</v>
      </c>
      <c r="J7" s="196" t="str">
        <f>DFIE!$B$142</f>
        <v>Alters-
struktur
(SLA B)</v>
      </c>
      <c r="K7" s="200" t="str">
        <f>DFIE!$B$143</f>
        <v>Ausländer-
integration
(SLA C)</v>
      </c>
      <c r="L7" s="199" t="str">
        <f>DFIE!B144</f>
        <v>Lasten-
index</v>
      </c>
      <c r="M7" s="196" t="str">
        <f>DFIE!B145</f>
        <v>Masszahl
Lasten</v>
      </c>
      <c r="N7" s="196" t="str">
        <f>DFIE!B146</f>
        <v>Massgebende
Sonderlasten</v>
      </c>
      <c r="O7" s="202" t="str">
        <f>DFIE!B147</f>
        <v>Auszahlung
SLA A-C</v>
      </c>
    </row>
    <row r="8" spans="2:15" ht="12.75" customHeight="1" x14ac:dyDescent="0.2">
      <c r="B8" s="169" t="str">
        <f>DFIE!$B$52</f>
        <v>Einheit</v>
      </c>
      <c r="C8" s="203" t="str">
        <f>DFIE!$B$58</f>
        <v>Prozent</v>
      </c>
      <c r="D8" s="74" t="str">
        <f>DFIE!$B$58</f>
        <v>Prozent</v>
      </c>
      <c r="E8" s="204" t="str">
        <f>DFIE!$B$58</f>
        <v>Prozent</v>
      </c>
      <c r="F8" s="80"/>
      <c r="G8" s="73"/>
      <c r="H8" s="176"/>
      <c r="I8" s="203"/>
      <c r="J8" s="74"/>
      <c r="K8" s="204"/>
      <c r="L8" s="73"/>
      <c r="M8" s="250"/>
      <c r="N8" s="250"/>
      <c r="O8" s="251" t="str">
        <f>DFIE!$B$54</f>
        <v>CHF</v>
      </c>
    </row>
    <row r="9" spans="2:15" x14ac:dyDescent="0.2">
      <c r="B9" s="123" t="str">
        <f>DFIE!$B22</f>
        <v>Zürich</v>
      </c>
      <c r="C9" s="254">
        <f>SLA_AC_1!D9</f>
        <v>5.8788473532336197E-2</v>
      </c>
      <c r="D9" s="103">
        <f>SLA_AC_1!H9</f>
        <v>4.7871965074541202E-2</v>
      </c>
      <c r="E9" s="180">
        <f>SLA_AC_1!L9</f>
        <v>0.10248062963677335</v>
      </c>
      <c r="F9" s="215">
        <f t="shared" ref="F9:F34" si="0">(C9-C$37)/C$38</f>
        <v>6.5942694860660567E-2</v>
      </c>
      <c r="G9" s="216">
        <f t="shared" ref="G9:G34" si="1">(D9-D$37)/D$38</f>
        <v>-0.55211807231171628</v>
      </c>
      <c r="H9" s="217">
        <f t="shared" ref="H9:H34" si="2">(E9-E$37)/E$38</f>
        <v>0.48854386019768925</v>
      </c>
      <c r="I9" s="215">
        <f t="shared" ref="I9:I34" si="3">I$5*F9</f>
        <v>3.6592265757827327E-2</v>
      </c>
      <c r="J9" s="216">
        <f t="shared" ref="J9:J34" si="4">J$5*G9</f>
        <v>-0.15245018423342949</v>
      </c>
      <c r="K9" s="217">
        <f t="shared" ref="K9:K34" si="5">K$5*H9</f>
        <v>0.21173379878890353</v>
      </c>
      <c r="L9" s="215">
        <f>ROUND(SUM(I9:K9),3)</f>
        <v>9.6000000000000002E-2</v>
      </c>
      <c r="M9" s="216">
        <f t="shared" ref="M9:M34" si="6">L9-L$39</f>
        <v>1.2750000000000001</v>
      </c>
      <c r="N9" s="224">
        <f>MAX((M9-$M$37)*SLA_AC_1!F9,0)</f>
        <v>142730.56484615395</v>
      </c>
      <c r="O9" s="226">
        <f>N9/$N$35*DOT!$I$12</f>
        <v>9317804.6998684444</v>
      </c>
    </row>
    <row r="10" spans="2:15" x14ac:dyDescent="0.2">
      <c r="B10" s="109" t="str">
        <f>DFIE!$B23</f>
        <v>Bern</v>
      </c>
      <c r="C10" s="258">
        <f>SLA_AC_1!D10</f>
        <v>6.6296266193757905E-2</v>
      </c>
      <c r="D10" s="111">
        <f>SLA_AC_1!H10</f>
        <v>5.7718704000826099E-2</v>
      </c>
      <c r="E10" s="188">
        <f>SLA_AC_1!L10</f>
        <v>6.7740983309514835E-2</v>
      </c>
      <c r="F10" s="260">
        <f t="shared" si="0"/>
        <v>0.31115768399121924</v>
      </c>
      <c r="G10" s="261">
        <f t="shared" si="1"/>
        <v>0.77400606994603105</v>
      </c>
      <c r="H10" s="262">
        <f t="shared" si="2"/>
        <v>-0.51268006713446956</v>
      </c>
      <c r="I10" s="260">
        <f t="shared" si="3"/>
        <v>0.17266453379340543</v>
      </c>
      <c r="J10" s="261">
        <f t="shared" si="4"/>
        <v>0.21371763374274386</v>
      </c>
      <c r="K10" s="262">
        <f t="shared" si="5"/>
        <v>-0.2221943760255341</v>
      </c>
      <c r="L10" s="260">
        <f t="shared" ref="L10:L34" si="7">ROUND(SUM(I10:K10),3)</f>
        <v>0.16400000000000001</v>
      </c>
      <c r="M10" s="261">
        <f t="shared" si="6"/>
        <v>1.343</v>
      </c>
      <c r="N10" s="263">
        <f>MAX((M10-$M$37)*SLA_AC_1!F10,0)</f>
        <v>168269.16946153837</v>
      </c>
      <c r="O10" s="264">
        <f>N10/$N$35*DOT!$I$12</f>
        <v>10985028.047368024</v>
      </c>
    </row>
    <row r="11" spans="2:15" x14ac:dyDescent="0.2">
      <c r="B11" s="123" t="str">
        <f>DFIE!$B24</f>
        <v>Luzern</v>
      </c>
      <c r="C11" s="254">
        <f>SLA_AC_1!D11</f>
        <v>4.4796298089644603E-2</v>
      </c>
      <c r="D11" s="103">
        <f>SLA_AC_1!H11</f>
        <v>4.8993919141689206E-2</v>
      </c>
      <c r="E11" s="180">
        <f>SLA_AC_1!L11</f>
        <v>7.3416510286392803E-2</v>
      </c>
      <c r="F11" s="218">
        <f t="shared" si="0"/>
        <v>-0.39106128804405149</v>
      </c>
      <c r="G11" s="211">
        <f t="shared" si="1"/>
        <v>-0.40101724734949773</v>
      </c>
      <c r="H11" s="219">
        <f t="shared" si="2"/>
        <v>-0.34910691627568802</v>
      </c>
      <c r="I11" s="218">
        <f t="shared" si="3"/>
        <v>-0.21700384871961009</v>
      </c>
      <c r="J11" s="211">
        <f t="shared" si="4"/>
        <v>-0.11072840449370012</v>
      </c>
      <c r="K11" s="219">
        <f t="shared" si="5"/>
        <v>-0.15130214416494828</v>
      </c>
      <c r="L11" s="218">
        <f t="shared" si="7"/>
        <v>-0.47899999999999998</v>
      </c>
      <c r="M11" s="211">
        <f t="shared" si="6"/>
        <v>0.70000000000000007</v>
      </c>
      <c r="N11" s="225">
        <f>MAX((M11-$M$37)*SLA_AC_1!F11,0)</f>
        <v>0</v>
      </c>
      <c r="O11" s="227">
        <f>N11/$N$35*DOT!$I$12</f>
        <v>0</v>
      </c>
    </row>
    <row r="12" spans="2:15" x14ac:dyDescent="0.2">
      <c r="B12" s="109" t="str">
        <f>DFIE!$B25</f>
        <v>Uri</v>
      </c>
      <c r="C12" s="258">
        <f>SLA_AC_1!D12</f>
        <v>2.73501327968474E-2</v>
      </c>
      <c r="D12" s="111">
        <f>SLA_AC_1!H12</f>
        <v>5.4419698436851571E-2</v>
      </c>
      <c r="E12" s="188">
        <f>SLA_AC_1!L12</f>
        <v>5.6245677133766769E-2</v>
      </c>
      <c r="F12" s="260">
        <f t="shared" si="0"/>
        <v>-0.96087740119082599</v>
      </c>
      <c r="G12" s="261">
        <f t="shared" si="1"/>
        <v>0.32970761168682838</v>
      </c>
      <c r="H12" s="262">
        <f t="shared" si="2"/>
        <v>-0.84398383133362465</v>
      </c>
      <c r="I12" s="260">
        <f t="shared" si="3"/>
        <v>-0.53320055086254869</v>
      </c>
      <c r="J12" s="261">
        <f t="shared" si="4"/>
        <v>9.1038472865714926E-2</v>
      </c>
      <c r="K12" s="262">
        <f t="shared" si="5"/>
        <v>-0.36578067453835295</v>
      </c>
      <c r="L12" s="260">
        <f t="shared" si="7"/>
        <v>-0.80800000000000005</v>
      </c>
      <c r="M12" s="261">
        <f t="shared" si="6"/>
        <v>0.371</v>
      </c>
      <c r="N12" s="263">
        <f>MAX((M12-$M$37)*SLA_AC_1!F12,0)</f>
        <v>0</v>
      </c>
      <c r="O12" s="264">
        <f>N12/$N$35*DOT!$I$12</f>
        <v>0</v>
      </c>
    </row>
    <row r="13" spans="2:15" x14ac:dyDescent="0.2">
      <c r="B13" s="123" t="str">
        <f>DFIE!$B26</f>
        <v>Schwyz</v>
      </c>
      <c r="C13" s="254">
        <f>SLA_AC_1!D13</f>
        <v>2.8180596932653099E-2</v>
      </c>
      <c r="D13" s="103">
        <f>SLA_AC_1!H13</f>
        <v>4.414774513515074E-2</v>
      </c>
      <c r="E13" s="180">
        <f>SLA_AC_1!L13</f>
        <v>6.9067065307353251E-2</v>
      </c>
      <c r="F13" s="218">
        <f t="shared" si="0"/>
        <v>-0.93375328319522455</v>
      </c>
      <c r="G13" s="211">
        <f t="shared" si="1"/>
        <v>-1.0536829060781316</v>
      </c>
      <c r="H13" s="219">
        <f t="shared" si="2"/>
        <v>-0.47446134109066213</v>
      </c>
      <c r="I13" s="218">
        <f t="shared" si="3"/>
        <v>-0.518149104508423</v>
      </c>
      <c r="J13" s="211">
        <f t="shared" si="4"/>
        <v>-0.29094166847799774</v>
      </c>
      <c r="K13" s="219">
        <f t="shared" si="5"/>
        <v>-0.20563046701058252</v>
      </c>
      <c r="L13" s="218">
        <f t="shared" si="7"/>
        <v>-1.0149999999999999</v>
      </c>
      <c r="M13" s="211">
        <f t="shared" si="6"/>
        <v>0.16400000000000015</v>
      </c>
      <c r="N13" s="225">
        <f>MAX((M13-$M$37)*SLA_AC_1!F13,0)</f>
        <v>0</v>
      </c>
      <c r="O13" s="227">
        <f>N13/$N$35*DOT!$I$12</f>
        <v>0</v>
      </c>
    </row>
    <row r="14" spans="2:15" x14ac:dyDescent="0.2">
      <c r="B14" s="109" t="str">
        <f>DFIE!$B27</f>
        <v>Obwalden</v>
      </c>
      <c r="C14" s="258">
        <f>SLA_AC_1!D14</f>
        <v>2.7823522346832101E-2</v>
      </c>
      <c r="D14" s="111">
        <f>SLA_AC_1!H14</f>
        <v>4.6283910321579538E-2</v>
      </c>
      <c r="E14" s="188">
        <f>SLA_AC_1!L14</f>
        <v>6.1373000160522231E-2</v>
      </c>
      <c r="F14" s="260">
        <f t="shared" si="0"/>
        <v>-0.94541583764092951</v>
      </c>
      <c r="G14" s="261">
        <f t="shared" si="1"/>
        <v>-0.76599169716308491</v>
      </c>
      <c r="H14" s="262">
        <f t="shared" si="2"/>
        <v>-0.69621034943952054</v>
      </c>
      <c r="I14" s="260">
        <f t="shared" si="3"/>
        <v>-0.52462077347181801</v>
      </c>
      <c r="J14" s="261">
        <f t="shared" si="4"/>
        <v>-0.21150471467968932</v>
      </c>
      <c r="K14" s="262">
        <f t="shared" si="5"/>
        <v>-0.30173598330215362</v>
      </c>
      <c r="L14" s="260">
        <f t="shared" si="7"/>
        <v>-1.038</v>
      </c>
      <c r="M14" s="261">
        <f t="shared" si="6"/>
        <v>0.14100000000000001</v>
      </c>
      <c r="N14" s="263">
        <f>MAX((M14-$M$37)*SLA_AC_1!F14,0)</f>
        <v>0</v>
      </c>
      <c r="O14" s="264">
        <f>N14/$N$35*DOT!$I$12</f>
        <v>0</v>
      </c>
    </row>
    <row r="15" spans="2:15" x14ac:dyDescent="0.2">
      <c r="B15" s="123" t="str">
        <f>DFIE!$B28</f>
        <v>Nidwalden</v>
      </c>
      <c r="C15" s="254">
        <f>SLA_AC_1!D15</f>
        <v>2.30266027339667E-2</v>
      </c>
      <c r="D15" s="103">
        <f>SLA_AC_1!H15</f>
        <v>4.8124823761631734E-2</v>
      </c>
      <c r="E15" s="180">
        <f>SLA_AC_1!L15</f>
        <v>5.1579095779678542E-2</v>
      </c>
      <c r="F15" s="218">
        <f t="shared" si="0"/>
        <v>-1.1020899286521493</v>
      </c>
      <c r="G15" s="211">
        <f t="shared" si="1"/>
        <v>-0.51806395428942942</v>
      </c>
      <c r="H15" s="219">
        <f t="shared" si="2"/>
        <v>-0.97847837588197017</v>
      </c>
      <c r="I15" s="218">
        <f t="shared" si="3"/>
        <v>-0.61156080508203281</v>
      </c>
      <c r="J15" s="211">
        <f t="shared" si="4"/>
        <v>-0.14304720174334806</v>
      </c>
      <c r="K15" s="219">
        <f t="shared" si="5"/>
        <v>-0.42407030450541744</v>
      </c>
      <c r="L15" s="218">
        <f t="shared" si="7"/>
        <v>-1.179</v>
      </c>
      <c r="M15" s="211">
        <f t="shared" si="6"/>
        <v>0</v>
      </c>
      <c r="N15" s="225">
        <f>MAX((M15-$M$37)*SLA_AC_1!F15,0)</f>
        <v>0</v>
      </c>
      <c r="O15" s="227">
        <f>N15/$N$35*DOT!$I$12</f>
        <v>0</v>
      </c>
    </row>
    <row r="16" spans="2:15" x14ac:dyDescent="0.2">
      <c r="B16" s="109" t="str">
        <f>DFIE!$B29</f>
        <v>Glarus</v>
      </c>
      <c r="C16" s="258">
        <f>SLA_AC_1!D16</f>
        <v>3.8174602250150499E-2</v>
      </c>
      <c r="D16" s="111">
        <f>SLA_AC_1!H16</f>
        <v>5.5645502777293444E-2</v>
      </c>
      <c r="E16" s="188">
        <f>SLA_AC_1!L16</f>
        <v>8.7528333374847431E-2</v>
      </c>
      <c r="F16" s="260">
        <f t="shared" si="0"/>
        <v>-0.60733511798755624</v>
      </c>
      <c r="G16" s="261">
        <f t="shared" si="1"/>
        <v>0.4947946259474591</v>
      </c>
      <c r="H16" s="262">
        <f t="shared" si="2"/>
        <v>5.7606923046065933E-2</v>
      </c>
      <c r="I16" s="260">
        <f t="shared" si="3"/>
        <v>-0.3370163759370427</v>
      </c>
      <c r="J16" s="261">
        <f t="shared" si="4"/>
        <v>0.13662210252884754</v>
      </c>
      <c r="K16" s="262">
        <f t="shared" si="5"/>
        <v>2.4966709535860145E-2</v>
      </c>
      <c r="L16" s="260">
        <f t="shared" si="7"/>
        <v>-0.17499999999999999</v>
      </c>
      <c r="M16" s="261">
        <f t="shared" si="6"/>
        <v>1.004</v>
      </c>
      <c r="N16" s="263">
        <f>MAX((M16-$M$37)*SLA_AC_1!F16,0)</f>
        <v>0</v>
      </c>
      <c r="O16" s="264">
        <f>N16/$N$35*DOT!$I$12</f>
        <v>0</v>
      </c>
    </row>
    <row r="17" spans="2:15" x14ac:dyDescent="0.2">
      <c r="B17" s="123" t="str">
        <f>DFIE!$B30</f>
        <v>Zug</v>
      </c>
      <c r="C17" s="254">
        <f>SLA_AC_1!D17</f>
        <v>3.9095300061548703E-2</v>
      </c>
      <c r="D17" s="103">
        <f>SLA_AC_1!H17</f>
        <v>4.1678768515829218E-2</v>
      </c>
      <c r="E17" s="180">
        <f>SLA_AC_1!L17</f>
        <v>0.12331784296640527</v>
      </c>
      <c r="F17" s="218">
        <f t="shared" si="0"/>
        <v>-0.5772638421817341</v>
      </c>
      <c r="G17" s="211">
        <f t="shared" si="1"/>
        <v>-1.3861959874204342</v>
      </c>
      <c r="H17" s="219">
        <f t="shared" si="2"/>
        <v>1.0890887352956873</v>
      </c>
      <c r="I17" s="218">
        <f t="shared" si="3"/>
        <v>-0.32032952202109788</v>
      </c>
      <c r="J17" s="211">
        <f t="shared" si="4"/>
        <v>-0.38275478428203846</v>
      </c>
      <c r="K17" s="219">
        <f t="shared" si="5"/>
        <v>0.47200858291218201</v>
      </c>
      <c r="L17" s="218">
        <f t="shared" si="7"/>
        <v>-0.23100000000000001</v>
      </c>
      <c r="M17" s="211">
        <f t="shared" si="6"/>
        <v>0.94800000000000006</v>
      </c>
      <c r="N17" s="225">
        <f>MAX((M17-$M$37)*SLA_AC_1!F17,0)</f>
        <v>0</v>
      </c>
      <c r="O17" s="227">
        <f>N17/$N$35*DOT!$I$12</f>
        <v>0</v>
      </c>
    </row>
    <row r="18" spans="2:15" x14ac:dyDescent="0.2">
      <c r="B18" s="109" t="str">
        <f>DFIE!$B31</f>
        <v>Freiburg</v>
      </c>
      <c r="C18" s="258">
        <f>SLA_AC_1!D18</f>
        <v>4.8496939338203801E-2</v>
      </c>
      <c r="D18" s="111">
        <f>SLA_AC_1!H18</f>
        <v>3.8129099687734438E-2</v>
      </c>
      <c r="E18" s="188">
        <f>SLA_AC_1!L18</f>
        <v>0.11038940220701861</v>
      </c>
      <c r="F18" s="260">
        <f t="shared" si="0"/>
        <v>-0.27019317880544319</v>
      </c>
      <c r="G18" s="261">
        <f t="shared" si="1"/>
        <v>-1.8642528918632417</v>
      </c>
      <c r="H18" s="262">
        <f t="shared" si="2"/>
        <v>0.71648090534096665</v>
      </c>
      <c r="I18" s="260">
        <f t="shared" si="3"/>
        <v>-0.14993291714408249</v>
      </c>
      <c r="J18" s="261">
        <f t="shared" si="4"/>
        <v>-0.51475528709336882</v>
      </c>
      <c r="K18" s="262">
        <f t="shared" si="5"/>
        <v>0.31052119616480073</v>
      </c>
      <c r="L18" s="260">
        <f t="shared" si="7"/>
        <v>-0.35399999999999998</v>
      </c>
      <c r="M18" s="261">
        <f t="shared" si="6"/>
        <v>0.82500000000000007</v>
      </c>
      <c r="N18" s="263">
        <f>MAX((M18-$M$37)*SLA_AC_1!F18,0)</f>
        <v>0</v>
      </c>
      <c r="O18" s="264">
        <f>N18/$N$35*DOT!$I$12</f>
        <v>0</v>
      </c>
    </row>
    <row r="19" spans="2:15" x14ac:dyDescent="0.2">
      <c r="B19" s="123" t="str">
        <f>DFIE!$B32</f>
        <v>Solothurn</v>
      </c>
      <c r="C19" s="254">
        <f>SLA_AC_1!D19</f>
        <v>8.2312184196381102E-2</v>
      </c>
      <c r="D19" s="103">
        <f>SLA_AC_1!H19</f>
        <v>5.4104609172323438E-2</v>
      </c>
      <c r="E19" s="180">
        <f>SLA_AC_1!L19</f>
        <v>7.2368347801559527E-2</v>
      </c>
      <c r="F19" s="218">
        <f t="shared" si="0"/>
        <v>0.83425992402903448</v>
      </c>
      <c r="G19" s="211">
        <f t="shared" si="1"/>
        <v>0.28727249852041831</v>
      </c>
      <c r="H19" s="219">
        <f t="shared" si="2"/>
        <v>-0.37931578339140065</v>
      </c>
      <c r="I19" s="218">
        <f t="shared" si="3"/>
        <v>0.46293923710095497</v>
      </c>
      <c r="J19" s="211">
        <f t="shared" si="4"/>
        <v>7.9321339983070907E-2</v>
      </c>
      <c r="K19" s="219">
        <f t="shared" si="5"/>
        <v>-0.16439459852294755</v>
      </c>
      <c r="L19" s="218">
        <f t="shared" si="7"/>
        <v>0.378</v>
      </c>
      <c r="M19" s="211">
        <f t="shared" si="6"/>
        <v>1.5569999999999999</v>
      </c>
      <c r="N19" s="225">
        <f>MAX((M19-$M$37)*SLA_AC_1!F19,0)</f>
        <v>101827.97176923073</v>
      </c>
      <c r="O19" s="227">
        <f>N19/$N$35*DOT!$I$12</f>
        <v>6647582.1415834334</v>
      </c>
    </row>
    <row r="20" spans="2:15" x14ac:dyDescent="0.2">
      <c r="B20" s="109" t="str">
        <f>DFIE!$B33</f>
        <v>Basel-Stadt</v>
      </c>
      <c r="C20" s="258">
        <f>SLA_AC_1!D20</f>
        <v>0.139550470628831</v>
      </c>
      <c r="D20" s="111">
        <f>SLA_AC_1!H20</f>
        <v>6.9969441135339511E-2</v>
      </c>
      <c r="E20" s="188">
        <f>SLA_AC_1!L20</f>
        <v>0.13431915885430154</v>
      </c>
      <c r="F20" s="260">
        <f t="shared" si="0"/>
        <v>2.703742263026812</v>
      </c>
      <c r="G20" s="261">
        <f t="shared" si="1"/>
        <v>2.4238922298364538</v>
      </c>
      <c r="H20" s="262">
        <f t="shared" si="2"/>
        <v>1.4061553109118705</v>
      </c>
      <c r="I20" s="260">
        <f t="shared" si="3"/>
        <v>1.5003338222437261</v>
      </c>
      <c r="J20" s="261">
        <f t="shared" si="4"/>
        <v>0.66928223423905497</v>
      </c>
      <c r="K20" s="262">
        <f t="shared" si="5"/>
        <v>0.60942451624729332</v>
      </c>
      <c r="L20" s="260">
        <f t="shared" si="7"/>
        <v>2.7789999999999999</v>
      </c>
      <c r="M20" s="261">
        <f t="shared" si="6"/>
        <v>3.9580000000000002</v>
      </c>
      <c r="N20" s="263">
        <f>MAX((M20-$M$37)*SLA_AC_1!F20,0)</f>
        <v>536526.67846153851</v>
      </c>
      <c r="O20" s="264">
        <f>N20/$N$35*DOT!$I$12</f>
        <v>35025790.107131623</v>
      </c>
    </row>
    <row r="21" spans="2:15" x14ac:dyDescent="0.2">
      <c r="B21" s="123" t="str">
        <f>DFIE!$B34</f>
        <v>Basel-Landschaft</v>
      </c>
      <c r="C21" s="254">
        <f>SLA_AC_1!D21</f>
        <v>4.8192920949446098E-2</v>
      </c>
      <c r="D21" s="103">
        <f>SLA_AC_1!H21</f>
        <v>6.062515754978573E-2</v>
      </c>
      <c r="E21" s="180">
        <f>SLA_AC_1!L21</f>
        <v>7.5315799792734506E-2</v>
      </c>
      <c r="F21" s="218">
        <f t="shared" si="0"/>
        <v>-0.28012284378910468</v>
      </c>
      <c r="G21" s="211">
        <f t="shared" si="1"/>
        <v>1.1654370044392117</v>
      </c>
      <c r="H21" s="219">
        <f t="shared" si="2"/>
        <v>-0.29436789905120658</v>
      </c>
      <c r="I21" s="218">
        <f t="shared" si="3"/>
        <v>-0.15544298828594444</v>
      </c>
      <c r="J21" s="211">
        <f t="shared" si="4"/>
        <v>0.3217990769534238</v>
      </c>
      <c r="K21" s="219">
        <f t="shared" si="5"/>
        <v>-0.12757837849481837</v>
      </c>
      <c r="L21" s="218">
        <f t="shared" si="7"/>
        <v>3.9E-2</v>
      </c>
      <c r="M21" s="211">
        <f t="shared" si="6"/>
        <v>1.218</v>
      </c>
      <c r="N21" s="225">
        <f>MAX((M21-$M$37)*SLA_AC_1!F21,0)</f>
        <v>11117.364923076899</v>
      </c>
      <c r="O21" s="227">
        <f>N21/$N$35*DOT!$I$12</f>
        <v>725769.110786153</v>
      </c>
    </row>
    <row r="22" spans="2:15" x14ac:dyDescent="0.2">
      <c r="B22" s="109" t="str">
        <f>DFIE!$B35</f>
        <v>Schaffhausen</v>
      </c>
      <c r="C22" s="258">
        <f>SLA_AC_1!D22</f>
        <v>5.9729381254869401E-2</v>
      </c>
      <c r="D22" s="111">
        <f>SLA_AC_1!H22</f>
        <v>6.0877316792333692E-2</v>
      </c>
      <c r="E22" s="188">
        <f>SLA_AC_1!L22</f>
        <v>8.0798326090455494E-2</v>
      </c>
      <c r="F22" s="260">
        <f t="shared" si="0"/>
        <v>9.6674054576999277E-2</v>
      </c>
      <c r="G22" s="261">
        <f t="shared" si="1"/>
        <v>1.1993969237322528</v>
      </c>
      <c r="H22" s="262">
        <f t="shared" si="2"/>
        <v>-0.13635717954658941</v>
      </c>
      <c r="I22" s="260">
        <f t="shared" si="3"/>
        <v>5.3645406886133208E-2</v>
      </c>
      <c r="J22" s="261">
        <f t="shared" si="4"/>
        <v>0.33117604940263129</v>
      </c>
      <c r="K22" s="262">
        <f t="shared" si="5"/>
        <v>-5.9096891742446894E-2</v>
      </c>
      <c r="L22" s="260">
        <f t="shared" si="7"/>
        <v>0.32600000000000001</v>
      </c>
      <c r="M22" s="261">
        <f t="shared" si="6"/>
        <v>1.5050000000000001</v>
      </c>
      <c r="N22" s="263">
        <f>MAX((M22-$M$37)*SLA_AC_1!F22,0)</f>
        <v>26324.481000000003</v>
      </c>
      <c r="O22" s="264">
        <f>N22/$N$35*DOT!$I$12</f>
        <v>1718527.3038594516</v>
      </c>
    </row>
    <row r="23" spans="2:15" x14ac:dyDescent="0.2">
      <c r="B23" s="123" t="str">
        <f>DFIE!$B36</f>
        <v>Appenzell A.Rh.</v>
      </c>
      <c r="C23" s="254">
        <f>SLA_AC_1!D23</f>
        <v>4.20728661701106E-2</v>
      </c>
      <c r="D23" s="103">
        <f>SLA_AC_1!H23</f>
        <v>5.2953379189867887E-2</v>
      </c>
      <c r="E23" s="180">
        <f>SLA_AC_1!L23</f>
        <v>4.9859882811078358E-2</v>
      </c>
      <c r="F23" s="218">
        <f t="shared" si="0"/>
        <v>-0.48001237642158862</v>
      </c>
      <c r="G23" s="211">
        <f t="shared" si="1"/>
        <v>0.13222889632335344</v>
      </c>
      <c r="H23" s="219">
        <f t="shared" si="2"/>
        <v>-1.0280274456717688</v>
      </c>
      <c r="I23" s="218">
        <f t="shared" si="3"/>
        <v>-0.26636370385195796</v>
      </c>
      <c r="J23" s="211">
        <f t="shared" si="4"/>
        <v>3.6510885291393326E-2</v>
      </c>
      <c r="K23" s="219">
        <f t="shared" si="5"/>
        <v>-0.44554475875156291</v>
      </c>
      <c r="L23" s="218">
        <f t="shared" si="7"/>
        <v>-0.67500000000000004</v>
      </c>
      <c r="M23" s="211">
        <f t="shared" si="6"/>
        <v>0.504</v>
      </c>
      <c r="N23" s="225">
        <f>MAX((M23-$M$37)*SLA_AC_1!F23,0)</f>
        <v>0</v>
      </c>
      <c r="O23" s="227">
        <f>N23/$N$35*DOT!$I$12</f>
        <v>0</v>
      </c>
    </row>
    <row r="24" spans="2:15" x14ac:dyDescent="0.2">
      <c r="B24" s="109" t="str">
        <f>DFIE!$B37</f>
        <v>Appenzell I.Rh.</v>
      </c>
      <c r="C24" s="258">
        <f>SLA_AC_1!D24</f>
        <v>1.92892990470168E-2</v>
      </c>
      <c r="D24" s="111">
        <f>SLA_AC_1!H24</f>
        <v>5.5177154283571832E-2</v>
      </c>
      <c r="E24" s="188">
        <f>SLA_AC_1!L24</f>
        <v>4.4179216396925576E-2</v>
      </c>
      <c r="F24" s="260">
        <f t="shared" si="0"/>
        <v>-1.2241554843090199</v>
      </c>
      <c r="G24" s="261">
        <f t="shared" si="1"/>
        <v>0.43171909920059398</v>
      </c>
      <c r="H24" s="262">
        <f t="shared" si="2"/>
        <v>-1.1917487191546006</v>
      </c>
      <c r="I24" s="260">
        <f t="shared" si="3"/>
        <v>-0.67929621173945387</v>
      </c>
      <c r="J24" s="261">
        <f t="shared" si="4"/>
        <v>0.11920576324308833</v>
      </c>
      <c r="K24" s="262">
        <f t="shared" si="5"/>
        <v>-0.51650118662080191</v>
      </c>
      <c r="L24" s="260">
        <f t="shared" si="7"/>
        <v>-1.077</v>
      </c>
      <c r="M24" s="261">
        <f t="shared" si="6"/>
        <v>0.10200000000000009</v>
      </c>
      <c r="N24" s="263">
        <f>MAX((M24-$M$37)*SLA_AC_1!F24,0)</f>
        <v>0</v>
      </c>
      <c r="O24" s="264">
        <f>N24/$N$35*DOT!$I$12</f>
        <v>0</v>
      </c>
    </row>
    <row r="25" spans="2:15" x14ac:dyDescent="0.2">
      <c r="B25" s="123" t="str">
        <f>DFIE!$B38</f>
        <v>St. Gallen</v>
      </c>
      <c r="C25" s="254">
        <f>SLA_AC_1!D25</f>
        <v>4.7509045759198197E-2</v>
      </c>
      <c r="D25" s="103">
        <f>SLA_AC_1!H25</f>
        <v>4.7400070042503066E-2</v>
      </c>
      <c r="E25" s="180">
        <f>SLA_AC_1!L25</f>
        <v>7.4943488435027614E-2</v>
      </c>
      <c r="F25" s="218">
        <f t="shared" si="0"/>
        <v>-0.30245916218598778</v>
      </c>
      <c r="G25" s="211">
        <f t="shared" si="1"/>
        <v>-0.61567123435674387</v>
      </c>
      <c r="H25" s="219">
        <f t="shared" si="2"/>
        <v>-0.30509820517585962</v>
      </c>
      <c r="I25" s="218">
        <f t="shared" si="3"/>
        <v>-0.16783763640515245</v>
      </c>
      <c r="J25" s="211">
        <f t="shared" si="4"/>
        <v>-0.16999840760857629</v>
      </c>
      <c r="K25" s="219">
        <f t="shared" si="5"/>
        <v>-0.13222886878451576</v>
      </c>
      <c r="L25" s="218">
        <f t="shared" si="7"/>
        <v>-0.47</v>
      </c>
      <c r="M25" s="211">
        <f t="shared" si="6"/>
        <v>0.70900000000000007</v>
      </c>
      <c r="N25" s="225">
        <f>MAX((M25-$M$37)*SLA_AC_1!F25,0)</f>
        <v>0</v>
      </c>
      <c r="O25" s="227">
        <f>N25/$N$35*DOT!$I$12</f>
        <v>0</v>
      </c>
    </row>
    <row r="26" spans="2:15" x14ac:dyDescent="0.2">
      <c r="B26" s="109" t="str">
        <f>DFIE!$B39</f>
        <v>Graubünden</v>
      </c>
      <c r="C26" s="258">
        <f>SLA_AC_1!D26</f>
        <v>3.0559308592704702E-2</v>
      </c>
      <c r="D26" s="111">
        <f>SLA_AC_1!H26</f>
        <v>5.4517843583902811E-2</v>
      </c>
      <c r="E26" s="188">
        <f>SLA_AC_1!L26</f>
        <v>7.3540875727663879E-2</v>
      </c>
      <c r="F26" s="260">
        <f t="shared" si="0"/>
        <v>-0.85606123971864945</v>
      </c>
      <c r="G26" s="261">
        <f t="shared" si="1"/>
        <v>0.34292545466250196</v>
      </c>
      <c r="H26" s="262">
        <f t="shared" si="2"/>
        <v>-0.34552260645396937</v>
      </c>
      <c r="I26" s="260">
        <f t="shared" si="3"/>
        <v>-0.47503700682769084</v>
      </c>
      <c r="J26" s="261">
        <f t="shared" si="4"/>
        <v>9.4688167918030322E-2</v>
      </c>
      <c r="K26" s="262">
        <f t="shared" si="5"/>
        <v>-0.14974871243359508</v>
      </c>
      <c r="L26" s="260">
        <f t="shared" si="7"/>
        <v>-0.53</v>
      </c>
      <c r="M26" s="261">
        <f t="shared" si="6"/>
        <v>0.64900000000000002</v>
      </c>
      <c r="N26" s="263">
        <f>MAX((M26-$M$37)*SLA_AC_1!F26,0)</f>
        <v>0</v>
      </c>
      <c r="O26" s="264">
        <f>N26/$N$35*DOT!$I$12</f>
        <v>0</v>
      </c>
    </row>
    <row r="27" spans="2:15" x14ac:dyDescent="0.2">
      <c r="B27" s="123" t="str">
        <f>DFIE!$B40</f>
        <v>Aargau</v>
      </c>
      <c r="C27" s="254">
        <f>SLA_AC_1!D27</f>
        <v>3.9594448174119702E-2</v>
      </c>
      <c r="D27" s="103">
        <f>SLA_AC_1!H27</f>
        <v>4.3793013013556162E-2</v>
      </c>
      <c r="E27" s="180">
        <f>SLA_AC_1!L27</f>
        <v>7.8837974141699144E-2</v>
      </c>
      <c r="F27" s="218">
        <f t="shared" si="0"/>
        <v>-0.56096096801905604</v>
      </c>
      <c r="G27" s="211">
        <f t="shared" si="1"/>
        <v>-1.1014569797082494</v>
      </c>
      <c r="H27" s="219">
        <f t="shared" si="2"/>
        <v>-0.19285606438258754</v>
      </c>
      <c r="I27" s="218">
        <f t="shared" si="3"/>
        <v>-0.31128289289504102</v>
      </c>
      <c r="J27" s="211">
        <f t="shared" si="4"/>
        <v>-0.30413298876207812</v>
      </c>
      <c r="K27" s="219">
        <f t="shared" si="5"/>
        <v>-8.358338003609149E-2</v>
      </c>
      <c r="L27" s="218">
        <f t="shared" si="7"/>
        <v>-0.69899999999999995</v>
      </c>
      <c r="M27" s="211">
        <f t="shared" si="6"/>
        <v>0.48000000000000009</v>
      </c>
      <c r="N27" s="225">
        <f>MAX((M27-$M$37)*SLA_AC_1!F27,0)</f>
        <v>0</v>
      </c>
      <c r="O27" s="227">
        <f>N27/$N$35*DOT!$I$12</f>
        <v>0</v>
      </c>
    </row>
    <row r="28" spans="2:15" x14ac:dyDescent="0.2">
      <c r="B28" s="109" t="str">
        <f>DFIE!$B41</f>
        <v>Thurgau</v>
      </c>
      <c r="C28" s="258">
        <f>SLA_AC_1!D28</f>
        <v>3.4619286752193799E-2</v>
      </c>
      <c r="D28" s="111">
        <f>SLA_AC_1!H28</f>
        <v>4.4789792729462263E-2</v>
      </c>
      <c r="E28" s="188">
        <f>SLA_AC_1!L28</f>
        <v>6.2484069609802406E-2</v>
      </c>
      <c r="F28" s="260">
        <f t="shared" si="0"/>
        <v>-0.72345668533809471</v>
      </c>
      <c r="G28" s="261">
        <f t="shared" si="1"/>
        <v>-0.9672141958107966</v>
      </c>
      <c r="H28" s="262">
        <f t="shared" si="2"/>
        <v>-0.66418845413674066</v>
      </c>
      <c r="I28" s="260">
        <f t="shared" si="3"/>
        <v>-0.40145340359696724</v>
      </c>
      <c r="J28" s="261">
        <f t="shared" si="4"/>
        <v>-0.26706603123343414</v>
      </c>
      <c r="K28" s="262">
        <f t="shared" si="5"/>
        <v>-0.287857766648004</v>
      </c>
      <c r="L28" s="260">
        <f t="shared" si="7"/>
        <v>-0.95599999999999996</v>
      </c>
      <c r="M28" s="261">
        <f t="shared" si="6"/>
        <v>0.22300000000000009</v>
      </c>
      <c r="N28" s="263">
        <f>MAX((M28-$M$37)*SLA_AC_1!F28,0)</f>
        <v>0</v>
      </c>
      <c r="O28" s="264">
        <f>N28/$N$35*DOT!$I$12</f>
        <v>0</v>
      </c>
    </row>
    <row r="29" spans="2:15" x14ac:dyDescent="0.2">
      <c r="B29" s="123" t="str">
        <f>DFIE!$B42</f>
        <v>Tessin</v>
      </c>
      <c r="C29" s="254">
        <f>SLA_AC_1!D29</f>
        <v>9.1668451305140203E-2</v>
      </c>
      <c r="D29" s="103">
        <f>SLA_AC_1!H29</f>
        <v>6.4248324514991184E-2</v>
      </c>
      <c r="E29" s="180">
        <f>SLA_AC_1!L29</f>
        <v>5.6025396825396825E-2</v>
      </c>
      <c r="F29" s="218">
        <f t="shared" si="0"/>
        <v>1.139848669062719</v>
      </c>
      <c r="G29" s="211">
        <f t="shared" si="1"/>
        <v>1.6533923793058929</v>
      </c>
      <c r="H29" s="219">
        <f t="shared" si="2"/>
        <v>-0.85033248305513165</v>
      </c>
      <c r="I29" s="218">
        <f t="shared" si="3"/>
        <v>0.6325135105591736</v>
      </c>
      <c r="J29" s="211">
        <f t="shared" si="4"/>
        <v>0.4565327336233671</v>
      </c>
      <c r="K29" s="219">
        <f t="shared" si="5"/>
        <v>-0.36853216576707998</v>
      </c>
      <c r="L29" s="218">
        <f t="shared" si="7"/>
        <v>0.72099999999999997</v>
      </c>
      <c r="M29" s="211">
        <f t="shared" si="6"/>
        <v>1.9</v>
      </c>
      <c r="N29" s="225">
        <f>MAX((M29-$M$37)*SLA_AC_1!F29,0)</f>
        <v>255477.11538461535</v>
      </c>
      <c r="O29" s="227">
        <f>N29/$N$35*DOT!$I$12</f>
        <v>16678178.69988445</v>
      </c>
    </row>
    <row r="30" spans="2:15" x14ac:dyDescent="0.2">
      <c r="B30" s="109" t="str">
        <f>DFIE!$B43</f>
        <v>Waadt</v>
      </c>
      <c r="C30" s="258">
        <f>SLA_AC_1!D30</f>
        <v>9.5886819661303899E-2</v>
      </c>
      <c r="D30" s="111">
        <f>SLA_AC_1!H30</f>
        <v>4.6690841999842005E-2</v>
      </c>
      <c r="E30" s="188">
        <f>SLA_AC_1!L30</f>
        <v>0.15152353017626927</v>
      </c>
      <c r="F30" s="260">
        <f t="shared" si="0"/>
        <v>1.2776264683779033</v>
      </c>
      <c r="G30" s="261">
        <f t="shared" si="1"/>
        <v>-0.7111875709611809</v>
      </c>
      <c r="H30" s="262">
        <f t="shared" si="2"/>
        <v>1.901998822385542</v>
      </c>
      <c r="I30" s="260">
        <f t="shared" si="3"/>
        <v>0.70896779952511468</v>
      </c>
      <c r="J30" s="261">
        <f t="shared" si="4"/>
        <v>-0.19637226465636287</v>
      </c>
      <c r="K30" s="262">
        <f t="shared" si="5"/>
        <v>0.82432196731067742</v>
      </c>
      <c r="L30" s="260">
        <f t="shared" si="7"/>
        <v>1.337</v>
      </c>
      <c r="M30" s="261">
        <f t="shared" si="6"/>
        <v>2.516</v>
      </c>
      <c r="N30" s="263">
        <f>MAX((M30-$M$37)*SLA_AC_1!F30,0)</f>
        <v>1049246.643076923</v>
      </c>
      <c r="O30" s="264">
        <f>N30/$N$35*DOT!$I$12</f>
        <v>68497418.984654024</v>
      </c>
    </row>
    <row r="31" spans="2:15" x14ac:dyDescent="0.2">
      <c r="B31" s="123" t="str">
        <f>DFIE!$B44</f>
        <v>Wallis</v>
      </c>
      <c r="C31" s="254">
        <f>SLA_AC_1!D31</f>
        <v>5.9992278060739999E-2</v>
      </c>
      <c r="D31" s="103">
        <f>SLA_AC_1!H31</f>
        <v>4.9160317947024551E-2</v>
      </c>
      <c r="E31" s="180">
        <f>SLA_AC_1!L31</f>
        <v>0.10878717833808996</v>
      </c>
      <c r="F31" s="218">
        <f t="shared" si="0"/>
        <v>0.10526063125822181</v>
      </c>
      <c r="G31" s="211">
        <f t="shared" si="1"/>
        <v>-0.37860724189997741</v>
      </c>
      <c r="H31" s="219">
        <f t="shared" si="2"/>
        <v>0.67030355340703673</v>
      </c>
      <c r="I31" s="218">
        <f t="shared" si="3"/>
        <v>5.8410184797214632E-2</v>
      </c>
      <c r="J31" s="211">
        <f t="shared" si="4"/>
        <v>-0.10454058049231027</v>
      </c>
      <c r="K31" s="219">
        <f t="shared" si="5"/>
        <v>0.29050803677512649</v>
      </c>
      <c r="L31" s="218">
        <f t="shared" si="7"/>
        <v>0.24399999999999999</v>
      </c>
      <c r="M31" s="211">
        <f t="shared" si="6"/>
        <v>1.423</v>
      </c>
      <c r="N31" s="225">
        <f>MAX((M31-$M$37)*SLA_AC_1!F31,0)</f>
        <v>82732.853538461539</v>
      </c>
      <c r="O31" s="227">
        <f>N31/$N$35*DOT!$I$12</f>
        <v>5401005.5405100361</v>
      </c>
    </row>
    <row r="32" spans="2:15" x14ac:dyDescent="0.2">
      <c r="B32" s="109" t="str">
        <f>DFIE!$B45</f>
        <v>Neuenburg</v>
      </c>
      <c r="C32" s="258">
        <f>SLA_AC_1!D32</f>
        <v>0.101785640635646</v>
      </c>
      <c r="D32" s="111">
        <f>SLA_AC_1!H32</f>
        <v>5.6354197584100083E-2</v>
      </c>
      <c r="E32" s="188">
        <f>SLA_AC_1!L32</f>
        <v>0.10720905878465786</v>
      </c>
      <c r="F32" s="260">
        <f t="shared" si="0"/>
        <v>1.4702901960989747</v>
      </c>
      <c r="G32" s="261">
        <f t="shared" si="1"/>
        <v>0.59023914822378587</v>
      </c>
      <c r="H32" s="262">
        <f t="shared" si="2"/>
        <v>0.62482090680199154</v>
      </c>
      <c r="I32" s="260">
        <f t="shared" si="3"/>
        <v>0.81587884314503434</v>
      </c>
      <c r="J32" s="261">
        <f t="shared" si="4"/>
        <v>0.16297613028992888</v>
      </c>
      <c r="K32" s="262">
        <f t="shared" si="5"/>
        <v>0.27079596109626608</v>
      </c>
      <c r="L32" s="260">
        <f t="shared" si="7"/>
        <v>1.25</v>
      </c>
      <c r="M32" s="261">
        <f t="shared" si="6"/>
        <v>2.4290000000000003</v>
      </c>
      <c r="N32" s="263">
        <f>MAX((M32-$M$37)*SLA_AC_1!F32,0)</f>
        <v>223195.01407692311</v>
      </c>
      <c r="O32" s="264">
        <f>N32/$N$35*DOT!$I$12</f>
        <v>14570723.190192692</v>
      </c>
    </row>
    <row r="33" spans="2:15" x14ac:dyDescent="0.2">
      <c r="B33" s="123" t="str">
        <f>DFIE!$B46</f>
        <v>Genf</v>
      </c>
      <c r="C33" s="254">
        <f>SLA_AC_1!D33</f>
        <v>0.112627170574888</v>
      </c>
      <c r="D33" s="103">
        <f>SLA_AC_1!H33</f>
        <v>4.9202899142840803E-2</v>
      </c>
      <c r="E33" s="180">
        <f>SLA_AC_1!L33</f>
        <v>0.1906055678577557</v>
      </c>
      <c r="F33" s="218">
        <f t="shared" si="0"/>
        <v>1.824389698589288</v>
      </c>
      <c r="G33" s="211">
        <f t="shared" si="1"/>
        <v>-0.37287255631514882</v>
      </c>
      <c r="H33" s="219">
        <f t="shared" si="2"/>
        <v>3.0283738835184457</v>
      </c>
      <c r="I33" s="218">
        <f t="shared" si="3"/>
        <v>1.0123722246669642</v>
      </c>
      <c r="J33" s="211">
        <f t="shared" si="4"/>
        <v>-0.10295712594196851</v>
      </c>
      <c r="K33" s="219">
        <f t="shared" si="5"/>
        <v>1.3124903591071633</v>
      </c>
      <c r="L33" s="218">
        <f t="shared" si="7"/>
        <v>2.222</v>
      </c>
      <c r="M33" s="211">
        <f t="shared" si="6"/>
        <v>3.4009999999999998</v>
      </c>
      <c r="N33" s="225">
        <f>MAX((M33-$M$37)*SLA_AC_1!F33,0)</f>
        <v>1087684.6723076922</v>
      </c>
      <c r="O33" s="227">
        <f>N33/$N$35*DOT!$I$12</f>
        <v>71006748.712355971</v>
      </c>
    </row>
    <row r="34" spans="2:15" x14ac:dyDescent="0.2">
      <c r="B34" s="109" t="str">
        <f>DFIE!$B47</f>
        <v>Jura</v>
      </c>
      <c r="C34" s="258">
        <f>SLA_AC_1!D34</f>
        <v>6.8588534094301601E-2</v>
      </c>
      <c r="D34" s="111">
        <f>SLA_AC_1!H34</f>
        <v>5.83818823336342E-2</v>
      </c>
      <c r="E34" s="188">
        <f>SLA_AC_1!L34</f>
        <v>5.9831514455293895E-2</v>
      </c>
      <c r="F34" s="265">
        <f t="shared" si="0"/>
        <v>0.38602635360758414</v>
      </c>
      <c r="G34" s="266">
        <f t="shared" si="1"/>
        <v>0.86332059370287018</v>
      </c>
      <c r="H34" s="267">
        <f t="shared" si="2"/>
        <v>-0.74063717972950216</v>
      </c>
      <c r="I34" s="265">
        <f t="shared" si="3"/>
        <v>0.21420991287331573</v>
      </c>
      <c r="J34" s="266">
        <f t="shared" si="4"/>
        <v>0.23837905361701264</v>
      </c>
      <c r="K34" s="267">
        <f t="shared" si="5"/>
        <v>-0.32099047058941854</v>
      </c>
      <c r="L34" s="260">
        <f t="shared" si="7"/>
        <v>0.13200000000000001</v>
      </c>
      <c r="M34" s="261">
        <f t="shared" si="6"/>
        <v>1.3109999999999999</v>
      </c>
      <c r="N34" s="263">
        <f>MAX((M34-$M$37)*SLA_AC_1!F34,0)</f>
        <v>9646.4792307692223</v>
      </c>
      <c r="O34" s="264">
        <f>N34/$N$35*DOT!$I$12</f>
        <v>629746.05061311659</v>
      </c>
    </row>
    <row r="35" spans="2:15" x14ac:dyDescent="0.2">
      <c r="B35" s="122" t="str">
        <f>DFIE!$B48</f>
        <v>Schweiz</v>
      </c>
      <c r="C35" s="231"/>
      <c r="D35" s="232"/>
      <c r="E35" s="233"/>
      <c r="F35" s="212"/>
      <c r="G35" s="213"/>
      <c r="H35" s="214"/>
      <c r="I35" s="212"/>
      <c r="J35" s="213"/>
      <c r="K35" s="214"/>
      <c r="L35" s="212"/>
      <c r="M35" s="210"/>
      <c r="N35" s="29">
        <f>SUM(N9:N34)</f>
        <v>3694779.0080769225</v>
      </c>
      <c r="O35" s="27">
        <f>SUM(O9:O34)</f>
        <v>241204322.5888074</v>
      </c>
    </row>
    <row r="36" spans="2:15" ht="7.5" customHeight="1" x14ac:dyDescent="0.2">
      <c r="C36" s="234"/>
      <c r="D36" s="234"/>
      <c r="E36" s="234"/>
      <c r="F36" s="211"/>
      <c r="G36" s="211"/>
      <c r="H36" s="211"/>
      <c r="I36" s="211"/>
      <c r="J36" s="211"/>
      <c r="K36" s="211"/>
      <c r="L36" s="211"/>
      <c r="M36" s="211"/>
      <c r="N36" s="97"/>
      <c r="O36" s="97"/>
    </row>
    <row r="37" spans="2:15" ht="11.25" customHeight="1" x14ac:dyDescent="0.2">
      <c r="B37" s="205" t="str">
        <f>DFIE!B151</f>
        <v>Mittelwert (MW)</v>
      </c>
      <c r="C37" s="255">
        <f t="shared" ref="C37:M37" si="8">AVERAGE(C9:C34)</f>
        <v>5.6769493851262773E-2</v>
      </c>
      <c r="D37" s="256">
        <f t="shared" si="8"/>
        <v>5.197155299493101E-2</v>
      </c>
      <c r="E37" s="257">
        <f t="shared" si="8"/>
        <v>8.5529535625422481E-2</v>
      </c>
      <c r="F37" s="228">
        <f t="shared" si="8"/>
        <v>1.9215398503127709E-17</v>
      </c>
      <c r="G37" s="229">
        <f t="shared" si="8"/>
        <v>8.1131682568761437E-16</v>
      </c>
      <c r="H37" s="230">
        <f t="shared" si="8"/>
        <v>1.2810265668751805E-16</v>
      </c>
      <c r="I37" s="228">
        <f t="shared" si="8"/>
        <v>9.6076992515638544E-18</v>
      </c>
      <c r="J37" s="229">
        <f t="shared" si="8"/>
        <v>2.2311212706409395E-16</v>
      </c>
      <c r="K37" s="230">
        <f t="shared" si="8"/>
        <v>4.6970974118756622E-17</v>
      </c>
      <c r="L37" s="228">
        <f t="shared" si="8"/>
        <v>7.6923076923064186E-5</v>
      </c>
      <c r="M37" s="220">
        <f t="shared" si="8"/>
        <v>1.1790769230769231</v>
      </c>
      <c r="N37" s="97"/>
      <c r="O37" s="97"/>
    </row>
    <row r="38" spans="2:15" ht="11.25" customHeight="1" x14ac:dyDescent="0.2">
      <c r="B38" s="268" t="str">
        <f>DFIE!B152</f>
        <v>Standardabweichung</v>
      </c>
      <c r="C38" s="269">
        <f t="shared" ref="C38:L38" si="9">STDEV(C9:C34)</f>
        <v>3.0617184895758431E-2</v>
      </c>
      <c r="D38" s="270">
        <f t="shared" si="9"/>
        <v>7.4252014668254726E-3</v>
      </c>
      <c r="E38" s="271">
        <f t="shared" si="9"/>
        <v>3.4697179500918517E-2</v>
      </c>
      <c r="F38" s="272">
        <f t="shared" si="9"/>
        <v>0.99999999999999978</v>
      </c>
      <c r="G38" s="273">
        <f t="shared" si="9"/>
        <v>0.99999999999999156</v>
      </c>
      <c r="H38" s="274">
        <f t="shared" si="9"/>
        <v>1</v>
      </c>
      <c r="I38" s="272">
        <f t="shared" si="9"/>
        <v>0.55491007510609291</v>
      </c>
      <c r="J38" s="273">
        <f t="shared" si="9"/>
        <v>0.2761188084192206</v>
      </c>
      <c r="K38" s="274">
        <f t="shared" si="9"/>
        <v>0.43339772749006694</v>
      </c>
      <c r="L38" s="272">
        <f t="shared" si="9"/>
        <v>1.0000599151281655</v>
      </c>
      <c r="M38" s="274"/>
    </row>
    <row r="39" spans="2:15" ht="11.25" customHeight="1" x14ac:dyDescent="0.2">
      <c r="B39" s="206" t="str">
        <f>DFIE!B153</f>
        <v>Minimum (Min)</v>
      </c>
      <c r="C39" s="207"/>
      <c r="D39" s="208"/>
      <c r="E39" s="209"/>
      <c r="F39" s="221"/>
      <c r="G39" s="222"/>
      <c r="H39" s="223"/>
      <c r="I39" s="221"/>
      <c r="J39" s="222"/>
      <c r="K39" s="223"/>
      <c r="L39" s="221">
        <f>MIN(L9:L34)</f>
        <v>-1.179</v>
      </c>
      <c r="M39" s="223"/>
    </row>
  </sheetData>
  <mergeCells count="3">
    <mergeCell ref="C6:E6"/>
    <mergeCell ref="F6:H6"/>
    <mergeCell ref="I6:K6"/>
  </mergeCells>
  <conditionalFormatting sqref="I5:K5">
    <cfRule type="expression" dxfId="13" priority="3" stopIfTrue="1">
      <formula>ISBLANK(I5)</formula>
    </cfRule>
  </conditionalFormatting>
  <conditionalFormatting sqref="F9:M34">
    <cfRule type="expression" dxfId="12" priority="2">
      <formula>AND(ISBLANK($B10),ISNUMBER($B9))</formula>
    </cfRule>
  </conditionalFormatting>
  <conditionalFormatting sqref="N9:O35">
    <cfRule type="expression" dxfId="11" priority="1">
      <formula>AND(ISBLANK($B10),ISNUMBER($B9))</formula>
    </cfRule>
  </conditionalFormatting>
  <pageMargins left="0.70866141732283472" right="0.39370078740157483" top="0.98425196850393704" bottom="0.78740157480314965" header="0.51181102362204722" footer="0.51181102362204722"/>
  <pageSetup paperSize="9" scale="82" orientation="landscape"/>
  <headerFooter scaleWithDoc="0" alignWithMargins="0">
    <oddHeader>&amp;L&amp;F&amp;R&amp;A</oddHeader>
    <oddFooter>&amp;C&amp;P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B1:K5001"/>
  <sheetViews>
    <sheetView showGridLines="0" workbookViewId="0">
      <pane ySplit="8" topLeftCell="A9" activePane="bottomLeft" state="frozen"/>
      <selection activeCell="A87" sqref="A87"/>
      <selection pane="bottomLeft" activeCell="A2270" sqref="A2270"/>
    </sheetView>
  </sheetViews>
  <sheetFormatPr baseColWidth="10" defaultColWidth="9.140625" defaultRowHeight="12.75" x14ac:dyDescent="0.2"/>
  <cols>
    <col min="1" max="1" width="1.42578125" customWidth="1"/>
    <col min="2" max="2" width="13.7109375" customWidth="1"/>
    <col min="3" max="3" width="11" customWidth="1"/>
    <col min="4" max="4" width="26.42578125" customWidth="1"/>
    <col min="5" max="8" width="11.5703125" customWidth="1"/>
    <col min="9" max="11" width="12.7109375" customWidth="1"/>
    <col min="12" max="12" width="11.42578125" customWidth="1"/>
    <col min="13" max="13" width="10.28515625" customWidth="1"/>
    <col min="14" max="14" width="19.7109375" customWidth="1"/>
    <col min="15" max="15" width="11.42578125" customWidth="1"/>
  </cols>
  <sheetData>
    <row r="1" spans="2:11" ht="23.25" customHeight="1" x14ac:dyDescent="0.25">
      <c r="B1" s="7" t="str">
        <f>DFIE!B154</f>
        <v>Massgebende Sonderlasten Kernstädte (SLA F) 2019</v>
      </c>
    </row>
    <row r="2" spans="2:11" ht="19.5" customHeight="1" x14ac:dyDescent="0.2">
      <c r="B2" s="293" t="str">
        <f>DFIE!B155</f>
        <v>(Teil-)Indikatoren Gemeinden</v>
      </c>
      <c r="I2" s="289"/>
      <c r="J2" s="290"/>
    </row>
    <row r="3" spans="2:11" ht="12.75" customHeight="1" x14ac:dyDescent="0.25">
      <c r="B3" s="309"/>
      <c r="I3" s="310"/>
      <c r="J3" s="311"/>
      <c r="K3" s="285"/>
    </row>
    <row r="4" spans="2:11" ht="12" customHeight="1" x14ac:dyDescent="0.2">
      <c r="B4" s="245" t="str">
        <f>DFIE!B49</f>
        <v>Spalte</v>
      </c>
      <c r="C4" s="240" t="s">
        <v>49</v>
      </c>
      <c r="D4" s="240" t="s">
        <v>50</v>
      </c>
      <c r="E4" s="240" t="s">
        <v>58</v>
      </c>
      <c r="F4" s="240" t="s">
        <v>52</v>
      </c>
      <c r="G4" s="240" t="s">
        <v>53</v>
      </c>
      <c r="H4" s="294" t="s">
        <v>54</v>
      </c>
      <c r="I4" s="295" t="s">
        <v>59</v>
      </c>
      <c r="J4" s="240" t="s">
        <v>60</v>
      </c>
      <c r="K4" s="296" t="s">
        <v>55</v>
      </c>
    </row>
    <row r="5" spans="2:11" ht="12" customHeight="1" x14ac:dyDescent="0.2">
      <c r="B5" s="245" t="str">
        <f>DFIE!B50</f>
        <v>Formel</v>
      </c>
      <c r="C5" s="252"/>
      <c r="D5" s="252"/>
      <c r="E5" s="252"/>
      <c r="F5" s="252"/>
      <c r="G5" s="252"/>
      <c r="H5" s="297" t="s">
        <v>111</v>
      </c>
      <c r="I5" s="298" t="s">
        <v>112</v>
      </c>
      <c r="J5" s="252"/>
      <c r="K5" s="299" t="s">
        <v>113</v>
      </c>
    </row>
    <row r="6" spans="2:11" ht="70.150000000000006" customHeight="1" x14ac:dyDescent="0.2">
      <c r="B6" s="142" t="str">
        <f>DFIE!$B$156</f>
        <v>Kantons-
nummer
BFS</v>
      </c>
      <c r="C6" s="118" t="str">
        <f>DFIE!$B$157</f>
        <v>Gemeinde-
nummer
BFS</v>
      </c>
      <c r="D6" s="286" t="str">
        <f>DFIE!$B$158</f>
        <v>Gemeindebezeichnung</v>
      </c>
      <c r="E6" s="118" t="str">
        <f>DFIE!$B$159</f>
        <v>Ständige
Wohnbe-
völkerung</v>
      </c>
      <c r="F6" s="118" t="str">
        <f>DFIE!$B$160</f>
        <v>Beschäf-
tigung</v>
      </c>
      <c r="G6" s="118" t="str">
        <f>DFIE!$B$161</f>
        <v>Fläche</v>
      </c>
      <c r="H6" s="283" t="str">
        <f>DFIE!$B$162</f>
        <v>Beschäfti-
gungs-
quote</v>
      </c>
      <c r="I6" s="284" t="str">
        <f>DFIE!$B$163</f>
        <v>Siedlungs-
dichte</v>
      </c>
      <c r="J6" s="118" t="str">
        <f>DFIE!$B$164</f>
        <v>Gemeinde-
indikator</v>
      </c>
      <c r="K6" s="292" t="str">
        <f>DFIE!$B$165</f>
        <v>Gemeinde-
indikator
gewichtet</v>
      </c>
    </row>
    <row r="7" spans="2:11" ht="12.75" customHeight="1" x14ac:dyDescent="0.2">
      <c r="B7" s="245" t="str">
        <f>DFIE!B51</f>
        <v>Erhebungsjahr</v>
      </c>
      <c r="C7" s="300"/>
      <c r="D7" s="301"/>
      <c r="E7" s="152">
        <v>2016</v>
      </c>
      <c r="F7" s="152">
        <v>2015</v>
      </c>
      <c r="G7" s="152">
        <v>2016</v>
      </c>
      <c r="H7" s="300"/>
      <c r="I7" s="300"/>
      <c r="J7" s="300"/>
      <c r="K7" s="302"/>
    </row>
    <row r="8" spans="2:11" ht="12.75" customHeight="1" x14ac:dyDescent="0.2">
      <c r="B8" s="245" t="str">
        <f>DFIE!B52</f>
        <v>Einheit</v>
      </c>
      <c r="C8" s="73"/>
      <c r="D8" s="303"/>
      <c r="E8" s="73" t="str">
        <f>DFIE!$B$56</f>
        <v>Anzahl</v>
      </c>
      <c r="F8" s="73" t="str">
        <f>DFIE!$B$56</f>
        <v>Anzahl</v>
      </c>
      <c r="G8" s="73" t="str">
        <f>DFIE!$B$59</f>
        <v>Hektaren</v>
      </c>
      <c r="H8" s="73" t="str">
        <f>DFIE!$B$58</f>
        <v>Prozent</v>
      </c>
      <c r="I8" s="304"/>
      <c r="J8" s="73"/>
      <c r="K8" s="305"/>
    </row>
    <row r="9" spans="2:11" x14ac:dyDescent="0.2">
      <c r="B9">
        <v>1</v>
      </c>
      <c r="C9">
        <v>1</v>
      </c>
      <c r="D9" s="307" t="s">
        <v>581</v>
      </c>
      <c r="E9" s="291">
        <v>1977</v>
      </c>
      <c r="F9" s="291">
        <v>427</v>
      </c>
      <c r="G9" s="291">
        <v>748</v>
      </c>
      <c r="H9" s="287">
        <v>0.21598381385938301</v>
      </c>
      <c r="I9" s="211">
        <v>3.2139037433155102</v>
      </c>
      <c r="J9" s="211">
        <v>-0.424832613271517</v>
      </c>
      <c r="K9" s="288">
        <v>-839.89407643778998</v>
      </c>
    </row>
    <row r="10" spans="2:11" x14ac:dyDescent="0.2">
      <c r="B10">
        <v>1</v>
      </c>
      <c r="C10">
        <v>2</v>
      </c>
      <c r="D10" s="308" t="s">
        <v>582</v>
      </c>
      <c r="E10" s="291">
        <v>11900</v>
      </c>
      <c r="F10" s="291">
        <v>6351</v>
      </c>
      <c r="G10" s="291">
        <v>1043</v>
      </c>
      <c r="H10" s="287">
        <v>0.53369747899159703</v>
      </c>
      <c r="I10" s="211">
        <v>17.498561840843699</v>
      </c>
      <c r="J10" s="211">
        <v>0.86919800710250705</v>
      </c>
      <c r="K10" s="288">
        <v>10343.4562845198</v>
      </c>
    </row>
    <row r="11" spans="2:11" x14ac:dyDescent="0.2">
      <c r="B11">
        <v>1</v>
      </c>
      <c r="C11">
        <v>3</v>
      </c>
      <c r="D11" s="308" t="s">
        <v>583</v>
      </c>
      <c r="E11" s="291">
        <v>5435</v>
      </c>
      <c r="F11" s="291">
        <v>991</v>
      </c>
      <c r="G11" s="291">
        <v>741</v>
      </c>
      <c r="H11" s="287">
        <v>0.182336706531739</v>
      </c>
      <c r="I11" s="211">
        <v>8.6720647773279396</v>
      </c>
      <c r="J11" s="211">
        <v>-0.135256435664589</v>
      </c>
      <c r="K11" s="288">
        <v>-735.11872783703905</v>
      </c>
    </row>
    <row r="12" spans="2:11" x14ac:dyDescent="0.2">
      <c r="B12">
        <v>1</v>
      </c>
      <c r="C12">
        <v>4</v>
      </c>
      <c r="D12" s="308" t="s">
        <v>584</v>
      </c>
      <c r="E12" s="291">
        <v>3571</v>
      </c>
      <c r="F12" s="291">
        <v>1086</v>
      </c>
      <c r="G12" s="291">
        <v>1328</v>
      </c>
      <c r="H12" s="287">
        <v>0.30411649397927798</v>
      </c>
      <c r="I12" s="211">
        <v>3.50677710843373</v>
      </c>
      <c r="J12" s="211">
        <v>-0.244030316726497</v>
      </c>
      <c r="K12" s="288">
        <v>-871.43226103031998</v>
      </c>
    </row>
    <row r="13" spans="2:11" x14ac:dyDescent="0.2">
      <c r="B13">
        <v>1</v>
      </c>
      <c r="C13">
        <v>5</v>
      </c>
      <c r="D13" s="308" t="s">
        <v>585</v>
      </c>
      <c r="E13" s="291">
        <v>3687</v>
      </c>
      <c r="F13" s="291">
        <v>1534</v>
      </c>
      <c r="G13" s="291">
        <v>652</v>
      </c>
      <c r="H13" s="287">
        <v>0.41605641442907498</v>
      </c>
      <c r="I13" s="211">
        <v>8.0076687116564393</v>
      </c>
      <c r="J13" s="211">
        <v>6.3329868302797507E-2</v>
      </c>
      <c r="K13" s="288">
        <v>233.49722443241399</v>
      </c>
    </row>
    <row r="14" spans="2:11" x14ac:dyDescent="0.2">
      <c r="B14">
        <v>1</v>
      </c>
      <c r="C14">
        <v>6</v>
      </c>
      <c r="D14" s="308" t="s">
        <v>586</v>
      </c>
      <c r="E14" s="291">
        <v>1110</v>
      </c>
      <c r="F14" s="291">
        <v>333</v>
      </c>
      <c r="G14" s="291">
        <v>773</v>
      </c>
      <c r="H14" s="287">
        <v>0.3</v>
      </c>
      <c r="I14" s="211">
        <v>1.8667529107373899</v>
      </c>
      <c r="J14" s="211">
        <v>-0.403001451065786</v>
      </c>
      <c r="K14" s="288">
        <v>-447.33161068302297</v>
      </c>
    </row>
    <row r="15" spans="2:11" x14ac:dyDescent="0.2">
      <c r="B15">
        <v>1</v>
      </c>
      <c r="C15">
        <v>7</v>
      </c>
      <c r="D15" s="308" t="s">
        <v>587</v>
      </c>
      <c r="E15" s="291">
        <v>2168</v>
      </c>
      <c r="F15" s="291">
        <v>533</v>
      </c>
      <c r="G15" s="291">
        <v>632</v>
      </c>
      <c r="H15" s="287">
        <v>0.24584870848708501</v>
      </c>
      <c r="I15" s="211">
        <v>4.2737341772151902</v>
      </c>
      <c r="J15" s="211">
        <v>-0.34185896780846098</v>
      </c>
      <c r="K15" s="288">
        <v>-741.15024220874398</v>
      </c>
    </row>
    <row r="16" spans="2:11" x14ac:dyDescent="0.2">
      <c r="B16">
        <v>1</v>
      </c>
      <c r="C16">
        <v>8</v>
      </c>
      <c r="D16" s="308" t="s">
        <v>588</v>
      </c>
      <c r="E16" s="291">
        <v>626</v>
      </c>
      <c r="F16" s="291">
        <v>147</v>
      </c>
      <c r="G16" s="291">
        <v>432</v>
      </c>
      <c r="H16" s="287">
        <v>0.23482428115015999</v>
      </c>
      <c r="I16" s="211">
        <v>1.7893518518518501</v>
      </c>
      <c r="J16" s="211">
        <v>-0.50508224194515505</v>
      </c>
      <c r="K16" s="288">
        <v>-316.18148345766701</v>
      </c>
    </row>
    <row r="17" spans="2:11" x14ac:dyDescent="0.2">
      <c r="B17">
        <v>1</v>
      </c>
      <c r="C17">
        <v>9</v>
      </c>
      <c r="D17" s="308" t="s">
        <v>589</v>
      </c>
      <c r="E17" s="291">
        <v>4861</v>
      </c>
      <c r="F17" s="291">
        <v>1713</v>
      </c>
      <c r="G17" s="291">
        <v>1292</v>
      </c>
      <c r="H17" s="287">
        <v>0.35239662620859902</v>
      </c>
      <c r="I17" s="211">
        <v>5.0882352941176503</v>
      </c>
      <c r="J17" s="211">
        <v>-7.7213266885587203E-2</v>
      </c>
      <c r="K17" s="288">
        <v>-375.33369033084</v>
      </c>
    </row>
    <row r="18" spans="2:11" x14ac:dyDescent="0.2">
      <c r="B18">
        <v>1</v>
      </c>
      <c r="C18">
        <v>10</v>
      </c>
      <c r="D18" s="308" t="s">
        <v>590</v>
      </c>
      <c r="E18" s="291">
        <v>5131</v>
      </c>
      <c r="F18" s="291">
        <v>1189</v>
      </c>
      <c r="G18" s="291">
        <v>717</v>
      </c>
      <c r="H18" s="287">
        <v>0.23172870785421901</v>
      </c>
      <c r="I18" s="211">
        <v>8.8145048814504907</v>
      </c>
      <c r="J18" s="211">
        <v>-8.0470360787619599E-2</v>
      </c>
      <c r="K18" s="288">
        <v>-412.893421201276</v>
      </c>
    </row>
    <row r="19" spans="2:11" x14ac:dyDescent="0.2">
      <c r="B19">
        <v>1</v>
      </c>
      <c r="C19">
        <v>11</v>
      </c>
      <c r="D19" s="308" t="s">
        <v>591</v>
      </c>
      <c r="E19" s="291">
        <v>2591</v>
      </c>
      <c r="F19" s="291">
        <v>654</v>
      </c>
      <c r="G19" s="291">
        <v>480</v>
      </c>
      <c r="H19" s="287">
        <v>0.25241219606329601</v>
      </c>
      <c r="I19" s="211">
        <v>6.7604166666666696</v>
      </c>
      <c r="J19" s="211">
        <v>-0.22683600470852699</v>
      </c>
      <c r="K19" s="288">
        <v>-587.732088199793</v>
      </c>
    </row>
    <row r="20" spans="2:11" x14ac:dyDescent="0.2">
      <c r="B20">
        <v>1</v>
      </c>
      <c r="C20">
        <v>12</v>
      </c>
      <c r="D20" s="308" t="s">
        <v>592</v>
      </c>
      <c r="E20" s="291">
        <v>1078</v>
      </c>
      <c r="F20" s="291">
        <v>236</v>
      </c>
      <c r="G20" s="291">
        <v>644</v>
      </c>
      <c r="H20" s="287">
        <v>0.21892393320964801</v>
      </c>
      <c r="I20" s="211">
        <v>2.0403726708074501</v>
      </c>
      <c r="J20" s="211">
        <v>-0.498356156956973</v>
      </c>
      <c r="K20" s="288">
        <v>-537.22793719961703</v>
      </c>
    </row>
    <row r="21" spans="2:11" x14ac:dyDescent="0.2">
      <c r="B21">
        <v>1</v>
      </c>
      <c r="C21">
        <v>13</v>
      </c>
      <c r="D21" s="308" t="s">
        <v>593</v>
      </c>
      <c r="E21" s="291">
        <v>3646</v>
      </c>
      <c r="F21" s="291">
        <v>764</v>
      </c>
      <c r="G21" s="291">
        <v>1189</v>
      </c>
      <c r="H21" s="287">
        <v>0.20954470652770199</v>
      </c>
      <c r="I21" s="211">
        <v>3.7089991589571101</v>
      </c>
      <c r="J21" s="211">
        <v>-0.35097646217469097</v>
      </c>
      <c r="K21" s="288">
        <v>-1279.6601810889199</v>
      </c>
    </row>
    <row r="22" spans="2:11" x14ac:dyDescent="0.2">
      <c r="B22">
        <v>1</v>
      </c>
      <c r="C22">
        <v>14</v>
      </c>
      <c r="D22" s="308" t="s">
        <v>594</v>
      </c>
      <c r="E22" s="291">
        <v>5123</v>
      </c>
      <c r="F22" s="291">
        <v>1213</v>
      </c>
      <c r="G22" s="291">
        <v>359</v>
      </c>
      <c r="H22" s="287">
        <v>0.23677532695686099</v>
      </c>
      <c r="I22" s="211">
        <v>17.649025069637901</v>
      </c>
      <c r="J22" s="211">
        <v>0.247806828114675</v>
      </c>
      <c r="K22" s="288">
        <v>1269.51438043148</v>
      </c>
    </row>
    <row r="23" spans="2:11" x14ac:dyDescent="0.2">
      <c r="B23">
        <v>1</v>
      </c>
      <c r="C23">
        <v>21</v>
      </c>
      <c r="D23" s="308" t="s">
        <v>595</v>
      </c>
      <c r="E23" s="291">
        <v>666</v>
      </c>
      <c r="F23" s="291">
        <v>173</v>
      </c>
      <c r="G23" s="291">
        <v>645</v>
      </c>
      <c r="H23" s="287">
        <v>0.25975975975976001</v>
      </c>
      <c r="I23" s="211">
        <v>1.30077519379845</v>
      </c>
      <c r="J23" s="211">
        <v>-0.49048053128762997</v>
      </c>
      <c r="K23" s="288">
        <v>-326.66003383756203</v>
      </c>
    </row>
    <row r="24" spans="2:11" x14ac:dyDescent="0.2">
      <c r="B24">
        <v>1</v>
      </c>
      <c r="C24">
        <v>22</v>
      </c>
      <c r="D24" s="308" t="s">
        <v>596</v>
      </c>
      <c r="E24" s="291">
        <v>857</v>
      </c>
      <c r="F24" s="291">
        <v>274</v>
      </c>
      <c r="G24" s="291">
        <v>565</v>
      </c>
      <c r="H24" s="287">
        <v>0.31971995332555397</v>
      </c>
      <c r="I24" s="211">
        <v>2.0017699115044199</v>
      </c>
      <c r="J24" s="211">
        <v>-0.38330606479281099</v>
      </c>
      <c r="K24" s="288">
        <v>-328.49329752743898</v>
      </c>
    </row>
    <row r="25" spans="2:11" x14ac:dyDescent="0.2">
      <c r="B25">
        <v>1</v>
      </c>
      <c r="C25">
        <v>23</v>
      </c>
      <c r="D25" s="308" t="s">
        <v>597</v>
      </c>
      <c r="E25" s="291">
        <v>567</v>
      </c>
      <c r="F25" s="291">
        <v>157</v>
      </c>
      <c r="G25" s="291">
        <v>692</v>
      </c>
      <c r="H25" s="287">
        <v>0.27689594356260999</v>
      </c>
      <c r="I25" s="211">
        <v>1.04624277456647</v>
      </c>
      <c r="J25" s="211">
        <v>-0.482315391501353</v>
      </c>
      <c r="K25" s="288">
        <v>-273.47282698126702</v>
      </c>
    </row>
    <row r="26" spans="2:11" x14ac:dyDescent="0.2">
      <c r="B26">
        <v>1</v>
      </c>
      <c r="C26">
        <v>24</v>
      </c>
      <c r="D26" s="308" t="s">
        <v>598</v>
      </c>
      <c r="E26" s="291">
        <v>957</v>
      </c>
      <c r="F26" s="291">
        <v>176</v>
      </c>
      <c r="G26" s="291">
        <v>1016</v>
      </c>
      <c r="H26" s="287">
        <v>0.18390804597701099</v>
      </c>
      <c r="I26" s="211">
        <v>1.11515748031496</v>
      </c>
      <c r="J26" s="211">
        <v>-0.58012660024632801</v>
      </c>
      <c r="K26" s="288">
        <v>-555.18115643573503</v>
      </c>
    </row>
    <row r="27" spans="2:11" x14ac:dyDescent="0.2">
      <c r="B27">
        <v>1</v>
      </c>
      <c r="C27">
        <v>25</v>
      </c>
      <c r="D27" s="308" t="s">
        <v>599</v>
      </c>
      <c r="E27" s="291">
        <v>1998</v>
      </c>
      <c r="F27" s="291">
        <v>364</v>
      </c>
      <c r="G27" s="291">
        <v>246</v>
      </c>
      <c r="H27" s="287">
        <v>0.18218218218218199</v>
      </c>
      <c r="I27" s="211">
        <v>9.6016260162601608</v>
      </c>
      <c r="J27" s="211">
        <v>-0.232858631531489</v>
      </c>
      <c r="K27" s="288">
        <v>-465.25154579991602</v>
      </c>
    </row>
    <row r="28" spans="2:11" x14ac:dyDescent="0.2">
      <c r="B28">
        <v>1</v>
      </c>
      <c r="C28">
        <v>26</v>
      </c>
      <c r="D28" s="308" t="s">
        <v>600</v>
      </c>
      <c r="E28" s="291">
        <v>629</v>
      </c>
      <c r="F28" s="291">
        <v>181</v>
      </c>
      <c r="G28" s="291">
        <v>553</v>
      </c>
      <c r="H28" s="287">
        <v>0.28775834658187599</v>
      </c>
      <c r="I28" s="211">
        <v>1.4647377938517201</v>
      </c>
      <c r="J28" s="211">
        <v>-0.45121722766327699</v>
      </c>
      <c r="K28" s="288">
        <v>-283.81563620020199</v>
      </c>
    </row>
    <row r="29" spans="2:11" x14ac:dyDescent="0.2">
      <c r="B29">
        <v>1</v>
      </c>
      <c r="C29">
        <v>27</v>
      </c>
      <c r="D29" s="308" t="s">
        <v>601</v>
      </c>
      <c r="E29" s="291">
        <v>3596</v>
      </c>
      <c r="F29" s="291">
        <v>1062</v>
      </c>
      <c r="G29" s="291">
        <v>245</v>
      </c>
      <c r="H29" s="287">
        <v>0.29532814238042299</v>
      </c>
      <c r="I29" s="211">
        <v>19.012244897959199</v>
      </c>
      <c r="J29" s="211">
        <v>0.31175487201499102</v>
      </c>
      <c r="K29" s="288">
        <v>1121.0705197659099</v>
      </c>
    </row>
    <row r="30" spans="2:11" x14ac:dyDescent="0.2">
      <c r="B30">
        <v>1</v>
      </c>
      <c r="C30">
        <v>28</v>
      </c>
      <c r="D30" s="308" t="s">
        <v>602</v>
      </c>
      <c r="E30" s="291">
        <v>1362</v>
      </c>
      <c r="F30" s="291">
        <v>686</v>
      </c>
      <c r="G30" s="291">
        <v>948</v>
      </c>
      <c r="H30" s="287">
        <v>0.50367107195300997</v>
      </c>
      <c r="I30" s="211">
        <v>2.1603375527426198</v>
      </c>
      <c r="J30" s="211">
        <v>-0.13027927851620699</v>
      </c>
      <c r="K30" s="288">
        <v>-177.44037733907399</v>
      </c>
    </row>
    <row r="31" spans="2:11" x14ac:dyDescent="0.2">
      <c r="B31">
        <v>1</v>
      </c>
      <c r="C31">
        <v>29</v>
      </c>
      <c r="D31" s="308" t="s">
        <v>603</v>
      </c>
      <c r="E31" s="291">
        <v>1434</v>
      </c>
      <c r="F31" s="291">
        <v>462</v>
      </c>
      <c r="G31" s="291">
        <v>232</v>
      </c>
      <c r="H31" s="287">
        <v>0.32217573221757301</v>
      </c>
      <c r="I31" s="211">
        <v>8.1724137931034502</v>
      </c>
      <c r="J31" s="211">
        <v>-0.133078884185243</v>
      </c>
      <c r="K31" s="288">
        <v>-190.83511992163801</v>
      </c>
    </row>
    <row r="32" spans="2:11" x14ac:dyDescent="0.2">
      <c r="B32">
        <v>1</v>
      </c>
      <c r="C32">
        <v>30</v>
      </c>
      <c r="D32" s="308" t="s">
        <v>604</v>
      </c>
      <c r="E32" s="291">
        <v>2224</v>
      </c>
      <c r="F32" s="291">
        <v>1421</v>
      </c>
      <c r="G32" s="291">
        <v>635</v>
      </c>
      <c r="H32" s="287">
        <v>0.63893884892086295</v>
      </c>
      <c r="I32" s="211">
        <v>5.7401574803149602</v>
      </c>
      <c r="J32" s="211">
        <v>0.20088672584106801</v>
      </c>
      <c r="K32" s="288">
        <v>446.772078270534</v>
      </c>
    </row>
    <row r="33" spans="2:11" x14ac:dyDescent="0.2">
      <c r="B33">
        <v>1</v>
      </c>
      <c r="C33">
        <v>31</v>
      </c>
      <c r="D33" s="308" t="s">
        <v>605</v>
      </c>
      <c r="E33" s="291">
        <v>2242</v>
      </c>
      <c r="F33" s="291">
        <v>623</v>
      </c>
      <c r="G33" s="291">
        <v>301</v>
      </c>
      <c r="H33" s="287">
        <v>0.277876895628903</v>
      </c>
      <c r="I33" s="211">
        <v>9.5182724252491706</v>
      </c>
      <c r="J33" s="211">
        <v>-0.10799523563062299</v>
      </c>
      <c r="K33" s="288">
        <v>-242.12531828385701</v>
      </c>
    </row>
    <row r="34" spans="2:11" x14ac:dyDescent="0.2">
      <c r="B34">
        <v>1</v>
      </c>
      <c r="C34">
        <v>32</v>
      </c>
      <c r="D34" s="308" t="s">
        <v>606</v>
      </c>
      <c r="E34" s="291">
        <v>496</v>
      </c>
      <c r="F34" s="291">
        <v>170</v>
      </c>
      <c r="G34" s="291">
        <v>367</v>
      </c>
      <c r="H34" s="287">
        <v>0.342741935483871</v>
      </c>
      <c r="I34" s="211">
        <v>1.81471389645777</v>
      </c>
      <c r="J34" s="211">
        <v>-0.37539644530389699</v>
      </c>
      <c r="K34" s="288">
        <v>-186.19663687073299</v>
      </c>
    </row>
    <row r="35" spans="2:11" x14ac:dyDescent="0.2">
      <c r="B35">
        <v>1</v>
      </c>
      <c r="C35">
        <v>33</v>
      </c>
      <c r="D35" s="308" t="s">
        <v>607</v>
      </c>
      <c r="E35" s="291">
        <v>2067</v>
      </c>
      <c r="F35" s="291">
        <v>1000</v>
      </c>
      <c r="G35" s="291">
        <v>990</v>
      </c>
      <c r="H35" s="287">
        <v>0.483792936623125</v>
      </c>
      <c r="I35" s="211">
        <v>3.0979797979798001</v>
      </c>
      <c r="J35" s="211">
        <v>-9.3763806158978405E-2</v>
      </c>
      <c r="K35" s="288">
        <v>-193.809787330608</v>
      </c>
    </row>
    <row r="36" spans="2:11" x14ac:dyDescent="0.2">
      <c r="B36">
        <v>1</v>
      </c>
      <c r="C36">
        <v>34</v>
      </c>
      <c r="D36" s="308" t="s">
        <v>608</v>
      </c>
      <c r="E36" s="291">
        <v>1650</v>
      </c>
      <c r="F36" s="291">
        <v>436</v>
      </c>
      <c r="G36" s="291">
        <v>607</v>
      </c>
      <c r="H36" s="287">
        <v>0.264242424242424</v>
      </c>
      <c r="I36" s="211">
        <v>3.43657331136738</v>
      </c>
      <c r="J36" s="211">
        <v>-0.36940262521846801</v>
      </c>
      <c r="K36" s="288">
        <v>-609.51433161047203</v>
      </c>
    </row>
    <row r="37" spans="2:11" x14ac:dyDescent="0.2">
      <c r="B37">
        <v>1</v>
      </c>
      <c r="C37">
        <v>35</v>
      </c>
      <c r="D37" s="308" t="s">
        <v>609</v>
      </c>
      <c r="E37" s="291">
        <v>1938</v>
      </c>
      <c r="F37" s="291">
        <v>1066</v>
      </c>
      <c r="G37" s="291">
        <v>1390</v>
      </c>
      <c r="H37" s="287">
        <v>0.55005159958720296</v>
      </c>
      <c r="I37" s="211">
        <v>2.1611510791366899</v>
      </c>
      <c r="J37" s="211">
        <v>-5.0767855351168303E-2</v>
      </c>
      <c r="K37" s="288">
        <v>-98.388103670564206</v>
      </c>
    </row>
    <row r="38" spans="2:11" x14ac:dyDescent="0.2">
      <c r="B38">
        <v>1</v>
      </c>
      <c r="C38">
        <v>36</v>
      </c>
      <c r="D38" s="308" t="s">
        <v>610</v>
      </c>
      <c r="E38" s="291">
        <v>1191</v>
      </c>
      <c r="F38" s="291">
        <v>416</v>
      </c>
      <c r="G38" s="291">
        <v>944</v>
      </c>
      <c r="H38" s="287">
        <v>0.34928631402183002</v>
      </c>
      <c r="I38" s="211">
        <v>1.7023305084745799</v>
      </c>
      <c r="J38" s="211">
        <v>-0.344831635625306</v>
      </c>
      <c r="K38" s="288">
        <v>-410.694478029739</v>
      </c>
    </row>
    <row r="39" spans="2:11" x14ac:dyDescent="0.2">
      <c r="B39">
        <v>1</v>
      </c>
      <c r="C39">
        <v>37</v>
      </c>
      <c r="D39" s="308" t="s">
        <v>611</v>
      </c>
      <c r="E39" s="291">
        <v>1456</v>
      </c>
      <c r="F39" s="291">
        <v>434</v>
      </c>
      <c r="G39" s="291">
        <v>1242</v>
      </c>
      <c r="H39" s="287">
        <v>0.29807692307692302</v>
      </c>
      <c r="I39" s="211">
        <v>1.52173913043478</v>
      </c>
      <c r="J39" s="211">
        <v>-0.40475188090617997</v>
      </c>
      <c r="K39" s="288">
        <v>-589.31873859939697</v>
      </c>
    </row>
    <row r="40" spans="2:11" x14ac:dyDescent="0.2">
      <c r="B40">
        <v>1</v>
      </c>
      <c r="C40">
        <v>38</v>
      </c>
      <c r="D40" s="308" t="s">
        <v>612</v>
      </c>
      <c r="E40" s="291">
        <v>1302</v>
      </c>
      <c r="F40" s="291">
        <v>496</v>
      </c>
      <c r="G40" s="291">
        <v>828</v>
      </c>
      <c r="H40" s="287">
        <v>0.38095238095238099</v>
      </c>
      <c r="I40" s="211">
        <v>2.17149758454106</v>
      </c>
      <c r="J40" s="211">
        <v>-0.28423327294404999</v>
      </c>
      <c r="K40" s="288">
        <v>-370.07172137315399</v>
      </c>
    </row>
    <row r="41" spans="2:11" x14ac:dyDescent="0.2">
      <c r="B41">
        <v>1</v>
      </c>
      <c r="C41">
        <v>39</v>
      </c>
      <c r="D41" s="308" t="s">
        <v>613</v>
      </c>
      <c r="E41" s="291">
        <v>919</v>
      </c>
      <c r="F41" s="291">
        <v>264</v>
      </c>
      <c r="G41" s="291">
        <v>618</v>
      </c>
      <c r="H41" s="287">
        <v>0.28726877040261201</v>
      </c>
      <c r="I41" s="211">
        <v>1.9142394822006501</v>
      </c>
      <c r="J41" s="211">
        <v>-0.424342985762174</v>
      </c>
      <c r="K41" s="288">
        <v>-389.97120391543802</v>
      </c>
    </row>
    <row r="42" spans="2:11" x14ac:dyDescent="0.2">
      <c r="B42">
        <v>1</v>
      </c>
      <c r="C42">
        <v>40</v>
      </c>
      <c r="D42" s="308" t="s">
        <v>614</v>
      </c>
      <c r="E42" s="291">
        <v>1064</v>
      </c>
      <c r="F42" s="291">
        <v>324</v>
      </c>
      <c r="G42" s="291">
        <v>953</v>
      </c>
      <c r="H42" s="287">
        <v>0.30451127819548901</v>
      </c>
      <c r="I42" s="211">
        <v>1.4564533053515201</v>
      </c>
      <c r="J42" s="211">
        <v>-0.41413873744086699</v>
      </c>
      <c r="K42" s="288">
        <v>-440.64361663708303</v>
      </c>
    </row>
    <row r="43" spans="2:11" x14ac:dyDescent="0.2">
      <c r="B43">
        <v>1</v>
      </c>
      <c r="C43">
        <v>41</v>
      </c>
      <c r="D43" s="308" t="s">
        <v>615</v>
      </c>
      <c r="E43" s="291">
        <v>469</v>
      </c>
      <c r="F43" s="291">
        <v>95</v>
      </c>
      <c r="G43" s="291">
        <v>438</v>
      </c>
      <c r="H43" s="287">
        <v>0.20255863539445601</v>
      </c>
      <c r="I43" s="211">
        <v>1.2876712328767099</v>
      </c>
      <c r="J43" s="211">
        <v>-0.56936748006815696</v>
      </c>
      <c r="K43" s="288">
        <v>-267.03334815196598</v>
      </c>
    </row>
    <row r="44" spans="2:11" x14ac:dyDescent="0.2">
      <c r="B44">
        <v>1</v>
      </c>
      <c r="C44">
        <v>42</v>
      </c>
      <c r="D44" s="308" t="s">
        <v>616</v>
      </c>
      <c r="E44" s="291">
        <v>899</v>
      </c>
      <c r="F44" s="291">
        <v>459</v>
      </c>
      <c r="G44" s="291">
        <v>718</v>
      </c>
      <c r="H44" s="287">
        <v>0.51056729699666303</v>
      </c>
      <c r="I44" s="211">
        <v>1.8913649025069601</v>
      </c>
      <c r="J44" s="211">
        <v>-0.14923823019014801</v>
      </c>
      <c r="K44" s="288">
        <v>-134.165168940943</v>
      </c>
    </row>
    <row r="45" spans="2:11" x14ac:dyDescent="0.2">
      <c r="B45">
        <v>1</v>
      </c>
      <c r="C45">
        <v>43</v>
      </c>
      <c r="D45" s="308" t="s">
        <v>617</v>
      </c>
      <c r="E45" s="291">
        <v>341</v>
      </c>
      <c r="F45" s="291">
        <v>98</v>
      </c>
      <c r="G45" s="291">
        <v>328</v>
      </c>
      <c r="H45" s="287">
        <v>0.287390029325513</v>
      </c>
      <c r="I45" s="211">
        <v>1.3384146341463401</v>
      </c>
      <c r="J45" s="211">
        <v>-0.46728688672638502</v>
      </c>
      <c r="K45" s="288">
        <v>-159.344828373697</v>
      </c>
    </row>
    <row r="46" spans="2:11" x14ac:dyDescent="0.2">
      <c r="B46">
        <v>1</v>
      </c>
      <c r="C46">
        <v>44</v>
      </c>
      <c r="D46" s="308" t="s">
        <v>618</v>
      </c>
      <c r="E46" s="291">
        <v>657</v>
      </c>
      <c r="F46" s="291">
        <v>257</v>
      </c>
      <c r="G46" s="291">
        <v>720</v>
      </c>
      <c r="H46" s="287">
        <v>0.39117199391171997</v>
      </c>
      <c r="I46" s="211">
        <v>1.2694444444444399</v>
      </c>
      <c r="J46" s="211">
        <v>-0.32912619600818999</v>
      </c>
      <c r="K46" s="288">
        <v>-216.23591077738101</v>
      </c>
    </row>
    <row r="47" spans="2:11" x14ac:dyDescent="0.2">
      <c r="B47">
        <v>1</v>
      </c>
      <c r="C47">
        <v>51</v>
      </c>
      <c r="D47" s="308" t="s">
        <v>619</v>
      </c>
      <c r="E47" s="291">
        <v>4087</v>
      </c>
      <c r="F47" s="291">
        <v>1884</v>
      </c>
      <c r="G47" s="291">
        <v>416</v>
      </c>
      <c r="H47" s="287">
        <v>0.46097381942745302</v>
      </c>
      <c r="I47" s="211">
        <v>14.353365384615399</v>
      </c>
      <c r="J47" s="211">
        <v>0.365797734468229</v>
      </c>
      <c r="K47" s="288">
        <v>1495.01534077165</v>
      </c>
    </row>
    <row r="48" spans="2:11" x14ac:dyDescent="0.2">
      <c r="B48">
        <v>1</v>
      </c>
      <c r="C48">
        <v>52</v>
      </c>
      <c r="D48" s="308" t="s">
        <v>620</v>
      </c>
      <c r="E48" s="291">
        <v>11616</v>
      </c>
      <c r="F48" s="291">
        <v>4313</v>
      </c>
      <c r="G48" s="291">
        <v>892</v>
      </c>
      <c r="H48" s="287">
        <v>0.37129820936639102</v>
      </c>
      <c r="I48" s="211">
        <v>17.857623318385599</v>
      </c>
      <c r="J48" s="211">
        <v>0.67020759643635897</v>
      </c>
      <c r="K48" s="288">
        <v>7785.1314402047401</v>
      </c>
    </row>
    <row r="49" spans="2:11" x14ac:dyDescent="0.2">
      <c r="B49">
        <v>1</v>
      </c>
      <c r="C49">
        <v>53</v>
      </c>
      <c r="D49" s="308" t="s">
        <v>621</v>
      </c>
      <c r="E49" s="291">
        <v>19611</v>
      </c>
      <c r="F49" s="291">
        <v>10466</v>
      </c>
      <c r="G49" s="291">
        <v>1601</v>
      </c>
      <c r="H49" s="287">
        <v>0.533680077507521</v>
      </c>
      <c r="I49" s="211">
        <v>18.786383510306099</v>
      </c>
      <c r="J49" s="211">
        <v>1.21079610002062</v>
      </c>
      <c r="K49" s="288">
        <v>23744.922317504399</v>
      </c>
    </row>
    <row r="50" spans="2:11" x14ac:dyDescent="0.2">
      <c r="B50">
        <v>1</v>
      </c>
      <c r="C50">
        <v>54</v>
      </c>
      <c r="D50" s="308" t="s">
        <v>622</v>
      </c>
      <c r="E50" s="291">
        <v>7568</v>
      </c>
      <c r="F50" s="291">
        <v>5931</v>
      </c>
      <c r="G50" s="291">
        <v>421</v>
      </c>
      <c r="H50" s="287">
        <v>0.783694503171247</v>
      </c>
      <c r="I50" s="211">
        <v>32.064133016627103</v>
      </c>
      <c r="J50" s="211">
        <v>1.5448897770729899</v>
      </c>
      <c r="K50" s="288">
        <v>11691.7258328884</v>
      </c>
    </row>
    <row r="51" spans="2:11" x14ac:dyDescent="0.2">
      <c r="B51">
        <v>1</v>
      </c>
      <c r="C51">
        <v>55</v>
      </c>
      <c r="D51" s="308" t="s">
        <v>623</v>
      </c>
      <c r="E51" s="291">
        <v>5167</v>
      </c>
      <c r="F51" s="291">
        <v>1411</v>
      </c>
      <c r="G51" s="291">
        <v>844</v>
      </c>
      <c r="H51" s="287">
        <v>0.273079156183472</v>
      </c>
      <c r="I51" s="211">
        <v>7.7938388625592401</v>
      </c>
      <c r="J51" s="211">
        <v>-6.5094035135032299E-2</v>
      </c>
      <c r="K51" s="288">
        <v>-336.340879542712</v>
      </c>
    </row>
    <row r="52" spans="2:11" x14ac:dyDescent="0.2">
      <c r="B52">
        <v>1</v>
      </c>
      <c r="C52">
        <v>56</v>
      </c>
      <c r="D52" s="308" t="s">
        <v>624</v>
      </c>
      <c r="E52" s="291">
        <v>9189</v>
      </c>
      <c r="F52" s="291">
        <v>3557</v>
      </c>
      <c r="G52" s="291">
        <v>1250</v>
      </c>
      <c r="H52" s="287">
        <v>0.38709326368484098</v>
      </c>
      <c r="I52" s="211">
        <v>10.1968</v>
      </c>
      <c r="J52" s="211">
        <v>0.317539174052896</v>
      </c>
      <c r="K52" s="288">
        <v>2917.8674703720599</v>
      </c>
    </row>
    <row r="53" spans="2:11" x14ac:dyDescent="0.2">
      <c r="B53">
        <v>1</v>
      </c>
      <c r="C53">
        <v>57</v>
      </c>
      <c r="D53" s="308" t="s">
        <v>625</v>
      </c>
      <c r="E53" s="291">
        <v>2342</v>
      </c>
      <c r="F53" s="291">
        <v>647</v>
      </c>
      <c r="G53" s="291">
        <v>815</v>
      </c>
      <c r="H53" s="287">
        <v>0.27625960717335601</v>
      </c>
      <c r="I53" s="211">
        <v>3.6674846625766899</v>
      </c>
      <c r="J53" s="211">
        <v>-0.31964556220763601</v>
      </c>
      <c r="K53" s="288">
        <v>-748.60990669028399</v>
      </c>
    </row>
    <row r="54" spans="2:11" x14ac:dyDescent="0.2">
      <c r="B54">
        <v>1</v>
      </c>
      <c r="C54">
        <v>58</v>
      </c>
      <c r="D54" s="308" t="s">
        <v>626</v>
      </c>
      <c r="E54" s="291">
        <v>5069</v>
      </c>
      <c r="F54" s="291">
        <v>982</v>
      </c>
      <c r="G54" s="291">
        <v>1191</v>
      </c>
      <c r="H54" s="287">
        <v>0.193726573288617</v>
      </c>
      <c r="I54" s="211">
        <v>5.0806045340050403</v>
      </c>
      <c r="J54" s="211">
        <v>-0.26616234816964701</v>
      </c>
      <c r="K54" s="288">
        <v>-1349.1769428719399</v>
      </c>
    </row>
    <row r="55" spans="2:11" x14ac:dyDescent="0.2">
      <c r="B55">
        <v>1</v>
      </c>
      <c r="C55">
        <v>59</v>
      </c>
      <c r="D55" s="308" t="s">
        <v>627</v>
      </c>
      <c r="E55" s="291">
        <v>1962</v>
      </c>
      <c r="F55" s="291">
        <v>395</v>
      </c>
      <c r="G55" s="291">
        <v>599</v>
      </c>
      <c r="H55" s="287">
        <v>0.20132517838939901</v>
      </c>
      <c r="I55" s="211">
        <v>3.93489148580968</v>
      </c>
      <c r="J55" s="211">
        <v>-0.41726482567819601</v>
      </c>
      <c r="K55" s="288">
        <v>-818.67358798062003</v>
      </c>
    </row>
    <row r="56" spans="2:11" x14ac:dyDescent="0.2">
      <c r="B56">
        <v>1</v>
      </c>
      <c r="C56">
        <v>60</v>
      </c>
      <c r="D56" s="308" t="s">
        <v>628</v>
      </c>
      <c r="E56" s="291">
        <v>2706</v>
      </c>
      <c r="F56" s="291">
        <v>1136</v>
      </c>
      <c r="G56" s="291">
        <v>432</v>
      </c>
      <c r="H56" s="287">
        <v>0.419807834441981</v>
      </c>
      <c r="I56" s="211">
        <v>8.8935185185185208</v>
      </c>
      <c r="J56" s="211">
        <v>6.28154152165014E-2</v>
      </c>
      <c r="K56" s="288">
        <v>169.97851357585299</v>
      </c>
    </row>
    <row r="57" spans="2:11" x14ac:dyDescent="0.2">
      <c r="B57">
        <v>1</v>
      </c>
      <c r="C57">
        <v>61</v>
      </c>
      <c r="D57" s="308" t="s">
        <v>629</v>
      </c>
      <c r="E57" s="291">
        <v>1025</v>
      </c>
      <c r="F57" s="291">
        <v>291</v>
      </c>
      <c r="G57" s="291">
        <v>481</v>
      </c>
      <c r="H57" s="287">
        <v>0.28390243902439</v>
      </c>
      <c r="I57" s="211">
        <v>2.7359667359667399</v>
      </c>
      <c r="J57" s="211">
        <v>-0.39448333230528099</v>
      </c>
      <c r="K57" s="288">
        <v>-404.34541561291297</v>
      </c>
    </row>
    <row r="58" spans="2:11" x14ac:dyDescent="0.2">
      <c r="B58">
        <v>1</v>
      </c>
      <c r="C58">
        <v>62</v>
      </c>
      <c r="D58" s="308" t="s">
        <v>630</v>
      </c>
      <c r="E58" s="291">
        <v>19086</v>
      </c>
      <c r="F58" s="291">
        <v>35237</v>
      </c>
      <c r="G58" s="291">
        <v>1910</v>
      </c>
      <c r="H58" s="287">
        <v>1.8462223619406899</v>
      </c>
      <c r="I58" s="211">
        <v>28.4413612565445</v>
      </c>
      <c r="J58" s="211">
        <v>3.1694553083738399</v>
      </c>
      <c r="K58" s="288">
        <v>60492.224015623098</v>
      </c>
    </row>
    <row r="59" spans="2:11" x14ac:dyDescent="0.2">
      <c r="B59">
        <v>1</v>
      </c>
      <c r="C59">
        <v>63</v>
      </c>
      <c r="D59" s="308" t="s">
        <v>631</v>
      </c>
      <c r="E59" s="291">
        <v>2210</v>
      </c>
      <c r="F59" s="291">
        <v>349</v>
      </c>
      <c r="G59" s="291">
        <v>515</v>
      </c>
      <c r="H59" s="287">
        <v>0.15791855203619901</v>
      </c>
      <c r="I59" s="211">
        <v>4.96893203883495</v>
      </c>
      <c r="J59" s="211">
        <v>-0.42384963147159899</v>
      </c>
      <c r="K59" s="288">
        <v>-936.70768555223401</v>
      </c>
    </row>
    <row r="60" spans="2:11" x14ac:dyDescent="0.2">
      <c r="B60">
        <v>1</v>
      </c>
      <c r="C60">
        <v>64</v>
      </c>
      <c r="D60" s="308" t="s">
        <v>632</v>
      </c>
      <c r="E60" s="291">
        <v>5600</v>
      </c>
      <c r="F60" s="291">
        <v>1027</v>
      </c>
      <c r="G60" s="291">
        <v>1009</v>
      </c>
      <c r="H60" s="287">
        <v>0.183392857142857</v>
      </c>
      <c r="I60" s="211">
        <v>6.56788899900892</v>
      </c>
      <c r="J60" s="211">
        <v>-0.20441441267274599</v>
      </c>
      <c r="K60" s="288">
        <v>-1144.72071096738</v>
      </c>
    </row>
    <row r="61" spans="2:11" x14ac:dyDescent="0.2">
      <c r="B61">
        <v>1</v>
      </c>
      <c r="C61">
        <v>65</v>
      </c>
      <c r="D61" s="308" t="s">
        <v>633</v>
      </c>
      <c r="E61" s="291">
        <v>1069</v>
      </c>
      <c r="F61" s="291">
        <v>249</v>
      </c>
      <c r="G61" s="291">
        <v>1016</v>
      </c>
      <c r="H61" s="287">
        <v>0.23292797006548199</v>
      </c>
      <c r="I61" s="211">
        <v>1.29724409448819</v>
      </c>
      <c r="J61" s="211">
        <v>-0.50845993980152504</v>
      </c>
      <c r="K61" s="288">
        <v>-543.54367564783001</v>
      </c>
    </row>
    <row r="62" spans="2:11" x14ac:dyDescent="0.2">
      <c r="B62">
        <v>1</v>
      </c>
      <c r="C62">
        <v>66</v>
      </c>
      <c r="D62" s="308" t="s">
        <v>634</v>
      </c>
      <c r="E62" s="291">
        <v>19599</v>
      </c>
      <c r="F62" s="291">
        <v>19353</v>
      </c>
      <c r="G62" s="291">
        <v>547</v>
      </c>
      <c r="H62" s="287">
        <v>0.98744833920097996</v>
      </c>
      <c r="I62" s="211">
        <v>71.210237659963397</v>
      </c>
      <c r="J62" s="211">
        <v>3.68532598439598</v>
      </c>
      <c r="K62" s="288">
        <v>72228.703968176793</v>
      </c>
    </row>
    <row r="63" spans="2:11" x14ac:dyDescent="0.2">
      <c r="B63">
        <v>1</v>
      </c>
      <c r="C63">
        <v>67</v>
      </c>
      <c r="D63" s="308" t="s">
        <v>635</v>
      </c>
      <c r="E63" s="291">
        <v>4400</v>
      </c>
      <c r="F63" s="291">
        <v>1332</v>
      </c>
      <c r="G63" s="291">
        <v>1070</v>
      </c>
      <c r="H63" s="287">
        <v>0.30272727272727301</v>
      </c>
      <c r="I63" s="211">
        <v>5.3570093457943901</v>
      </c>
      <c r="J63" s="211">
        <v>-0.146570038239764</v>
      </c>
      <c r="K63" s="288">
        <v>-644.90816825496097</v>
      </c>
    </row>
    <row r="64" spans="2:11" x14ac:dyDescent="0.2">
      <c r="B64">
        <v>1</v>
      </c>
      <c r="C64">
        <v>68</v>
      </c>
      <c r="D64" s="308" t="s">
        <v>636</v>
      </c>
      <c r="E64" s="291">
        <v>2814</v>
      </c>
      <c r="F64" s="291">
        <v>476</v>
      </c>
      <c r="G64" s="291">
        <v>436</v>
      </c>
      <c r="H64" s="287">
        <v>0.16915422885572101</v>
      </c>
      <c r="I64" s="211">
        <v>7.5458715596330297</v>
      </c>
      <c r="J64" s="211">
        <v>-0.29282809874358001</v>
      </c>
      <c r="K64" s="288">
        <v>-824.01826986443302</v>
      </c>
    </row>
    <row r="65" spans="2:11" x14ac:dyDescent="0.2">
      <c r="B65">
        <v>1</v>
      </c>
      <c r="C65">
        <v>69</v>
      </c>
      <c r="D65" s="308" t="s">
        <v>637</v>
      </c>
      <c r="E65" s="291">
        <v>15934</v>
      </c>
      <c r="F65" s="291">
        <v>19983</v>
      </c>
      <c r="G65" s="291">
        <v>638</v>
      </c>
      <c r="H65" s="287">
        <v>1.2541107066649899</v>
      </c>
      <c r="I65" s="211">
        <v>56.2962382445141</v>
      </c>
      <c r="J65" s="211">
        <v>3.33158640663649</v>
      </c>
      <c r="K65" s="288">
        <v>53085.497803345897</v>
      </c>
    </row>
    <row r="66" spans="2:11" x14ac:dyDescent="0.2">
      <c r="B66">
        <v>1</v>
      </c>
      <c r="C66">
        <v>70</v>
      </c>
      <c r="D66" s="308" t="s">
        <v>638</v>
      </c>
      <c r="E66" s="291">
        <v>562</v>
      </c>
      <c r="F66" s="291">
        <v>65</v>
      </c>
      <c r="G66" s="291">
        <v>393</v>
      </c>
      <c r="H66" s="287">
        <v>0.115658362989324</v>
      </c>
      <c r="I66" s="211">
        <v>1.5954198473282399</v>
      </c>
      <c r="J66" s="211">
        <v>-0.66226943039257302</v>
      </c>
      <c r="K66" s="288">
        <v>-372.19541988062599</v>
      </c>
    </row>
    <row r="67" spans="2:11" x14ac:dyDescent="0.2">
      <c r="B67">
        <v>1</v>
      </c>
      <c r="C67">
        <v>71</v>
      </c>
      <c r="D67" s="308" t="s">
        <v>639</v>
      </c>
      <c r="E67" s="291">
        <v>1372</v>
      </c>
      <c r="F67" s="291">
        <v>455</v>
      </c>
      <c r="G67" s="291">
        <v>884</v>
      </c>
      <c r="H67" s="287">
        <v>0.33163265306122403</v>
      </c>
      <c r="I67" s="211">
        <v>2.06674208144796</v>
      </c>
      <c r="J67" s="211">
        <v>-0.34649587466641002</v>
      </c>
      <c r="K67" s="288">
        <v>-475.39234004231503</v>
      </c>
    </row>
    <row r="68" spans="2:11" x14ac:dyDescent="0.2">
      <c r="B68">
        <v>1</v>
      </c>
      <c r="C68">
        <v>72</v>
      </c>
      <c r="D68" s="308" t="s">
        <v>640</v>
      </c>
      <c r="E68" s="291">
        <v>4391</v>
      </c>
      <c r="F68" s="291">
        <v>831</v>
      </c>
      <c r="G68" s="291">
        <v>752</v>
      </c>
      <c r="H68" s="287">
        <v>0.18925074015030699</v>
      </c>
      <c r="I68" s="211">
        <v>6.94414893617021</v>
      </c>
      <c r="J68" s="211">
        <v>-0.229622861957647</v>
      </c>
      <c r="K68" s="288">
        <v>-1008.27398685603</v>
      </c>
    </row>
    <row r="69" spans="2:11" x14ac:dyDescent="0.2">
      <c r="B69">
        <v>1</v>
      </c>
      <c r="C69">
        <v>81</v>
      </c>
      <c r="D69" s="308" t="s">
        <v>641</v>
      </c>
      <c r="E69" s="291">
        <v>605</v>
      </c>
      <c r="F69" s="291">
        <v>257</v>
      </c>
      <c r="G69" s="291">
        <v>913</v>
      </c>
      <c r="H69" s="287">
        <v>0.42479338842975201</v>
      </c>
      <c r="I69" s="211">
        <v>0.94414019715224495</v>
      </c>
      <c r="J69" s="211">
        <v>-0.30131945366384799</v>
      </c>
      <c r="K69" s="288">
        <v>-182.298269466628</v>
      </c>
    </row>
    <row r="70" spans="2:11" x14ac:dyDescent="0.2">
      <c r="B70">
        <v>1</v>
      </c>
      <c r="C70">
        <v>82</v>
      </c>
      <c r="D70" s="308" t="s">
        <v>642</v>
      </c>
      <c r="E70" s="291">
        <v>1327</v>
      </c>
      <c r="F70" s="291">
        <v>269</v>
      </c>
      <c r="G70" s="291">
        <v>389</v>
      </c>
      <c r="H70" s="287">
        <v>0.20271288620949501</v>
      </c>
      <c r="I70" s="211">
        <v>4.1028277634961396</v>
      </c>
      <c r="J70" s="211">
        <v>-0.43368105160706399</v>
      </c>
      <c r="K70" s="288">
        <v>-575.49475548257499</v>
      </c>
    </row>
    <row r="71" spans="2:11" x14ac:dyDescent="0.2">
      <c r="B71">
        <v>1</v>
      </c>
      <c r="C71">
        <v>83</v>
      </c>
      <c r="D71" s="308" t="s">
        <v>643</v>
      </c>
      <c r="E71" s="291">
        <v>6359</v>
      </c>
      <c r="F71" s="291">
        <v>2282</v>
      </c>
      <c r="G71" s="291">
        <v>580</v>
      </c>
      <c r="H71" s="287">
        <v>0.358861456203806</v>
      </c>
      <c r="I71" s="211">
        <v>14.898275862068999</v>
      </c>
      <c r="J71" s="211">
        <v>0.34595683966955998</v>
      </c>
      <c r="K71" s="288">
        <v>2199.93954345873</v>
      </c>
    </row>
    <row r="72" spans="2:11" x14ac:dyDescent="0.2">
      <c r="B72">
        <v>1</v>
      </c>
      <c r="C72">
        <v>84</v>
      </c>
      <c r="D72" s="308" t="s">
        <v>644</v>
      </c>
      <c r="E72" s="291">
        <v>4080</v>
      </c>
      <c r="F72" s="291">
        <v>2655</v>
      </c>
      <c r="G72" s="291">
        <v>444</v>
      </c>
      <c r="H72" s="287">
        <v>0.65073529411764697</v>
      </c>
      <c r="I72" s="211">
        <v>15.1689189189189</v>
      </c>
      <c r="J72" s="211">
        <v>0.63043152190872098</v>
      </c>
      <c r="K72" s="288">
        <v>2572.1606093875798</v>
      </c>
    </row>
    <row r="73" spans="2:11" x14ac:dyDescent="0.2">
      <c r="B73">
        <v>1</v>
      </c>
      <c r="C73">
        <v>85</v>
      </c>
      <c r="D73" s="308" t="s">
        <v>645</v>
      </c>
      <c r="E73" s="291">
        <v>1884</v>
      </c>
      <c r="F73" s="291">
        <v>469</v>
      </c>
      <c r="G73" s="291">
        <v>275</v>
      </c>
      <c r="H73" s="287">
        <v>0.248938428874735</v>
      </c>
      <c r="I73" s="211">
        <v>8.5563636363636402</v>
      </c>
      <c r="J73" s="211">
        <v>-0.19262917505539701</v>
      </c>
      <c r="K73" s="288">
        <v>-362.91336580436803</v>
      </c>
    </row>
    <row r="74" spans="2:11" x14ac:dyDescent="0.2">
      <c r="B74">
        <v>1</v>
      </c>
      <c r="C74">
        <v>86</v>
      </c>
      <c r="D74" s="308" t="s">
        <v>646</v>
      </c>
      <c r="E74" s="291">
        <v>5992</v>
      </c>
      <c r="F74" s="291">
        <v>3938</v>
      </c>
      <c r="G74" s="291">
        <v>577</v>
      </c>
      <c r="H74" s="287">
        <v>0.65720961281708901</v>
      </c>
      <c r="I74" s="211">
        <v>17.209705372617002</v>
      </c>
      <c r="J74" s="211">
        <v>0.78596928219681905</v>
      </c>
      <c r="K74" s="288">
        <v>4709.5279389233401</v>
      </c>
    </row>
    <row r="75" spans="2:11" x14ac:dyDescent="0.2">
      <c r="B75">
        <v>1</v>
      </c>
      <c r="C75">
        <v>87</v>
      </c>
      <c r="D75" s="308" t="s">
        <v>647</v>
      </c>
      <c r="E75" s="291">
        <v>920</v>
      </c>
      <c r="F75" s="291">
        <v>114</v>
      </c>
      <c r="G75" s="291">
        <v>160</v>
      </c>
      <c r="H75" s="287">
        <v>0.123913043478261</v>
      </c>
      <c r="I75" s="211">
        <v>6.4625000000000004</v>
      </c>
      <c r="J75" s="211">
        <v>-0.46078512179333397</v>
      </c>
      <c r="K75" s="288">
        <v>-423.922312049867</v>
      </c>
    </row>
    <row r="76" spans="2:11" x14ac:dyDescent="0.2">
      <c r="B76">
        <v>1</v>
      </c>
      <c r="C76">
        <v>88</v>
      </c>
      <c r="D76" s="308" t="s">
        <v>648</v>
      </c>
      <c r="E76" s="291">
        <v>3128</v>
      </c>
      <c r="F76" s="291">
        <v>630</v>
      </c>
      <c r="G76" s="291">
        <v>520</v>
      </c>
      <c r="H76" s="287">
        <v>0.20140664961636801</v>
      </c>
      <c r="I76" s="211">
        <v>7.2269230769230797</v>
      </c>
      <c r="J76" s="211">
        <v>-0.25250118239283598</v>
      </c>
      <c r="K76" s="288">
        <v>-789.82369852479098</v>
      </c>
    </row>
    <row r="77" spans="2:11" x14ac:dyDescent="0.2">
      <c r="B77">
        <v>1</v>
      </c>
      <c r="C77">
        <v>89</v>
      </c>
      <c r="D77" s="308" t="s">
        <v>649</v>
      </c>
      <c r="E77" s="291">
        <v>4914</v>
      </c>
      <c r="F77" s="291">
        <v>1328</v>
      </c>
      <c r="G77" s="291">
        <v>347</v>
      </c>
      <c r="H77" s="287">
        <v>0.27024827024826997</v>
      </c>
      <c r="I77" s="211">
        <v>17.988472622478401</v>
      </c>
      <c r="J77" s="211">
        <v>0.293684333638977</v>
      </c>
      <c r="K77" s="288">
        <v>1443.16481550194</v>
      </c>
    </row>
    <row r="78" spans="2:11" x14ac:dyDescent="0.2">
      <c r="B78">
        <v>1</v>
      </c>
      <c r="C78">
        <v>90</v>
      </c>
      <c r="D78" s="308" t="s">
        <v>650</v>
      </c>
      <c r="E78" s="291">
        <v>9195</v>
      </c>
      <c r="F78" s="291">
        <v>2189</v>
      </c>
      <c r="G78" s="291">
        <v>1107</v>
      </c>
      <c r="H78" s="287">
        <v>0.23806416530723201</v>
      </c>
      <c r="I78" s="211">
        <v>10.283649503161699</v>
      </c>
      <c r="J78" s="211">
        <v>0.13626563688173801</v>
      </c>
      <c r="K78" s="288">
        <v>1252.96253112758</v>
      </c>
    </row>
    <row r="79" spans="2:11" x14ac:dyDescent="0.2">
      <c r="B79">
        <v>1</v>
      </c>
      <c r="C79">
        <v>91</v>
      </c>
      <c r="D79" s="308" t="s">
        <v>651</v>
      </c>
      <c r="E79" s="291">
        <v>2930</v>
      </c>
      <c r="F79" s="291">
        <v>778</v>
      </c>
      <c r="G79" s="291">
        <v>680</v>
      </c>
      <c r="H79" s="287">
        <v>0.26552901023890801</v>
      </c>
      <c r="I79" s="211">
        <v>5.4529411764705902</v>
      </c>
      <c r="J79" s="211">
        <v>-0.24533261923199701</v>
      </c>
      <c r="K79" s="288">
        <v>-718.82457434975004</v>
      </c>
    </row>
    <row r="80" spans="2:11" x14ac:dyDescent="0.2">
      <c r="B80">
        <v>1</v>
      </c>
      <c r="C80">
        <v>92</v>
      </c>
      <c r="D80" s="308" t="s">
        <v>652</v>
      </c>
      <c r="E80" s="291">
        <v>6981</v>
      </c>
      <c r="F80" s="291">
        <v>1662</v>
      </c>
      <c r="G80" s="291">
        <v>756</v>
      </c>
      <c r="H80" s="287">
        <v>0.23807477438762401</v>
      </c>
      <c r="I80" s="211">
        <v>11.4325396825397</v>
      </c>
      <c r="J80" s="211">
        <v>9.3600510872284298E-2</v>
      </c>
      <c r="K80" s="288">
        <v>653.42516639941698</v>
      </c>
    </row>
    <row r="81" spans="2:11" x14ac:dyDescent="0.2">
      <c r="B81">
        <v>1</v>
      </c>
      <c r="C81">
        <v>93</v>
      </c>
      <c r="D81" s="308" t="s">
        <v>653</v>
      </c>
      <c r="E81" s="291">
        <v>1786</v>
      </c>
      <c r="F81" s="291">
        <v>282</v>
      </c>
      <c r="G81" s="291">
        <v>490</v>
      </c>
      <c r="H81" s="287">
        <v>0.157894736842105</v>
      </c>
      <c r="I81" s="211">
        <v>4.2204081632653097</v>
      </c>
      <c r="J81" s="211">
        <v>-0.46739000410284098</v>
      </c>
      <c r="K81" s="288">
        <v>-834.758547327673</v>
      </c>
    </row>
    <row r="82" spans="2:11" x14ac:dyDescent="0.2">
      <c r="B82">
        <v>1</v>
      </c>
      <c r="C82">
        <v>94</v>
      </c>
      <c r="D82" s="308" t="s">
        <v>654</v>
      </c>
      <c r="E82" s="291">
        <v>2837</v>
      </c>
      <c r="F82" s="291">
        <v>2377</v>
      </c>
      <c r="G82" s="291">
        <v>712</v>
      </c>
      <c r="H82" s="287">
        <v>0.83785689108212902</v>
      </c>
      <c r="I82" s="211">
        <v>7.3230337078651697</v>
      </c>
      <c r="J82" s="211">
        <v>0.52855279984441805</v>
      </c>
      <c r="K82" s="288">
        <v>1499.5042931586099</v>
      </c>
    </row>
    <row r="83" spans="2:11" x14ac:dyDescent="0.2">
      <c r="B83">
        <v>1</v>
      </c>
      <c r="C83">
        <v>95</v>
      </c>
      <c r="D83" s="308" t="s">
        <v>655</v>
      </c>
      <c r="E83" s="291">
        <v>472</v>
      </c>
      <c r="F83" s="291">
        <v>223</v>
      </c>
      <c r="G83" s="291">
        <v>236</v>
      </c>
      <c r="H83" s="287">
        <v>0.47245762711864397</v>
      </c>
      <c r="I83" s="211">
        <v>2.9449152542372898</v>
      </c>
      <c r="J83" s="211">
        <v>-0.17433881033946999</v>
      </c>
      <c r="K83" s="288">
        <v>-82.287918480230104</v>
      </c>
    </row>
    <row r="84" spans="2:11" x14ac:dyDescent="0.2">
      <c r="B84">
        <v>1</v>
      </c>
      <c r="C84">
        <v>96</v>
      </c>
      <c r="D84" s="308" t="s">
        <v>656</v>
      </c>
      <c r="E84" s="291">
        <v>18191</v>
      </c>
      <c r="F84" s="291">
        <v>10434</v>
      </c>
      <c r="G84" s="291">
        <v>1427</v>
      </c>
      <c r="H84" s="287">
        <v>0.57358034192732699</v>
      </c>
      <c r="I84" s="211">
        <v>20.059565522074301</v>
      </c>
      <c r="J84" s="211">
        <v>1.25243393652214</v>
      </c>
      <c r="K84" s="288">
        <v>22783.025739274301</v>
      </c>
    </row>
    <row r="85" spans="2:11" x14ac:dyDescent="0.2">
      <c r="B85">
        <v>1</v>
      </c>
      <c r="C85">
        <v>97</v>
      </c>
      <c r="D85" s="308" t="s">
        <v>657</v>
      </c>
      <c r="E85" s="291">
        <v>8026</v>
      </c>
      <c r="F85" s="291">
        <v>6135</v>
      </c>
      <c r="G85" s="291">
        <v>1208</v>
      </c>
      <c r="H85" s="287">
        <v>0.76439073012708703</v>
      </c>
      <c r="I85" s="211">
        <v>11.722682119205301</v>
      </c>
      <c r="J85" s="211">
        <v>0.79630717601516798</v>
      </c>
      <c r="K85" s="288">
        <v>6391.1613946977404</v>
      </c>
    </row>
    <row r="86" spans="2:11" x14ac:dyDescent="0.2">
      <c r="B86">
        <v>1</v>
      </c>
      <c r="C86">
        <v>98</v>
      </c>
      <c r="D86" s="308" t="s">
        <v>658</v>
      </c>
      <c r="E86" s="291">
        <v>726</v>
      </c>
      <c r="F86" s="291">
        <v>131</v>
      </c>
      <c r="G86" s="291">
        <v>563</v>
      </c>
      <c r="H86" s="287">
        <v>0.180440771349862</v>
      </c>
      <c r="I86" s="211">
        <v>1.52220248667851</v>
      </c>
      <c r="J86" s="211">
        <v>-0.57839838984037395</v>
      </c>
      <c r="K86" s="288">
        <v>-419.91723102411203</v>
      </c>
    </row>
    <row r="87" spans="2:11" x14ac:dyDescent="0.2">
      <c r="B87">
        <v>1</v>
      </c>
      <c r="C87">
        <v>99</v>
      </c>
      <c r="D87" s="308" t="s">
        <v>659</v>
      </c>
      <c r="E87" s="291">
        <v>1394</v>
      </c>
      <c r="F87" s="291">
        <v>371</v>
      </c>
      <c r="G87" s="291">
        <v>394</v>
      </c>
      <c r="H87" s="287">
        <v>0.266140602582496</v>
      </c>
      <c r="I87" s="211">
        <v>4.4796954314720798</v>
      </c>
      <c r="J87" s="211">
        <v>-0.33877357105567801</v>
      </c>
      <c r="K87" s="288">
        <v>-472.25035805161502</v>
      </c>
    </row>
    <row r="88" spans="2:11" x14ac:dyDescent="0.2">
      <c r="B88">
        <v>1</v>
      </c>
      <c r="C88">
        <v>100</v>
      </c>
      <c r="D88" s="308" t="s">
        <v>660</v>
      </c>
      <c r="E88" s="291">
        <v>2227</v>
      </c>
      <c r="F88" s="291">
        <v>585</v>
      </c>
      <c r="G88" s="291">
        <v>1277</v>
      </c>
      <c r="H88" s="287">
        <v>0.26268522676246098</v>
      </c>
      <c r="I88" s="211">
        <v>2.2020360219263901</v>
      </c>
      <c r="J88" s="211">
        <v>-0.39432773000023602</v>
      </c>
      <c r="K88" s="288">
        <v>-878.16785471052697</v>
      </c>
    </row>
    <row r="89" spans="2:11" x14ac:dyDescent="0.2">
      <c r="B89">
        <v>1</v>
      </c>
      <c r="C89">
        <v>101</v>
      </c>
      <c r="D89" s="308" t="s">
        <v>661</v>
      </c>
      <c r="E89" s="291">
        <v>3464</v>
      </c>
      <c r="F89" s="291">
        <v>780</v>
      </c>
      <c r="G89" s="291">
        <v>941</v>
      </c>
      <c r="H89" s="287">
        <v>0.225173210161663</v>
      </c>
      <c r="I89" s="211">
        <v>4.5100956429330497</v>
      </c>
      <c r="J89" s="211">
        <v>-0.30933613522442499</v>
      </c>
      <c r="K89" s="288">
        <v>-1071.54037241741</v>
      </c>
    </row>
    <row r="90" spans="2:11" x14ac:dyDescent="0.2">
      <c r="B90">
        <v>1</v>
      </c>
      <c r="C90">
        <v>102</v>
      </c>
      <c r="D90" s="308" t="s">
        <v>662</v>
      </c>
      <c r="E90" s="291">
        <v>1483</v>
      </c>
      <c r="F90" s="291">
        <v>275</v>
      </c>
      <c r="G90" s="291">
        <v>926</v>
      </c>
      <c r="H90" s="287">
        <v>0.18543492919757201</v>
      </c>
      <c r="I90" s="211">
        <v>1.8984881209503199</v>
      </c>
      <c r="J90" s="211">
        <v>-0.52955638177479303</v>
      </c>
      <c r="K90" s="288">
        <v>-785.33211417201903</v>
      </c>
    </row>
    <row r="91" spans="2:11" x14ac:dyDescent="0.2">
      <c r="B91">
        <v>1</v>
      </c>
      <c r="C91">
        <v>111</v>
      </c>
      <c r="D91" s="308" t="s">
        <v>663</v>
      </c>
      <c r="E91" s="291">
        <v>5060</v>
      </c>
      <c r="F91" s="291">
        <v>1587</v>
      </c>
      <c r="G91" s="291">
        <v>2164</v>
      </c>
      <c r="H91" s="287">
        <v>0.31363636363636399</v>
      </c>
      <c r="I91" s="211">
        <v>3.0716266173752298</v>
      </c>
      <c r="J91" s="211">
        <v>-0.19121629008586399</v>
      </c>
      <c r="K91" s="288">
        <v>-967.55442783447302</v>
      </c>
    </row>
    <row r="92" spans="2:11" x14ac:dyDescent="0.2">
      <c r="B92">
        <v>1</v>
      </c>
      <c r="C92">
        <v>112</v>
      </c>
      <c r="D92" s="308" t="s">
        <v>664</v>
      </c>
      <c r="E92" s="291">
        <v>7115</v>
      </c>
      <c r="F92" s="291">
        <v>3382</v>
      </c>
      <c r="G92" s="291">
        <v>1090</v>
      </c>
      <c r="H92" s="287">
        <v>0.47533380182712598</v>
      </c>
      <c r="I92" s="211">
        <v>9.6302752293577996</v>
      </c>
      <c r="J92" s="211">
        <v>0.32696747358498301</v>
      </c>
      <c r="K92" s="288">
        <v>2326.3735745571498</v>
      </c>
    </row>
    <row r="93" spans="2:11" x14ac:dyDescent="0.2">
      <c r="B93">
        <v>1</v>
      </c>
      <c r="C93">
        <v>113</v>
      </c>
      <c r="D93" s="308" t="s">
        <v>665</v>
      </c>
      <c r="E93" s="291">
        <v>7530</v>
      </c>
      <c r="F93" s="291">
        <v>1722</v>
      </c>
      <c r="G93" s="291">
        <v>1006</v>
      </c>
      <c r="H93" s="287">
        <v>0.22868525896414299</v>
      </c>
      <c r="I93" s="211">
        <v>9.1968190854870802</v>
      </c>
      <c r="J93" s="211">
        <v>2.1371635685534501E-2</v>
      </c>
      <c r="K93" s="288">
        <v>160.92841671207501</v>
      </c>
    </row>
    <row r="94" spans="2:11" x14ac:dyDescent="0.2">
      <c r="B94">
        <v>1</v>
      </c>
      <c r="C94">
        <v>114</v>
      </c>
      <c r="D94" s="308" t="s">
        <v>666</v>
      </c>
      <c r="E94" s="291">
        <v>2480</v>
      </c>
      <c r="F94" s="291">
        <v>750</v>
      </c>
      <c r="G94" s="291">
        <v>2978</v>
      </c>
      <c r="H94" s="287">
        <v>0.30241935483871002</v>
      </c>
      <c r="I94" s="211">
        <v>1.0846205507051701</v>
      </c>
      <c r="J94" s="211">
        <v>-0.37619275912446698</v>
      </c>
      <c r="K94" s="288">
        <v>-932.95804262867796</v>
      </c>
    </row>
    <row r="95" spans="2:11" x14ac:dyDescent="0.2">
      <c r="B95">
        <v>1</v>
      </c>
      <c r="C95">
        <v>115</v>
      </c>
      <c r="D95" s="308" t="s">
        <v>667</v>
      </c>
      <c r="E95" s="291">
        <v>9827</v>
      </c>
      <c r="F95" s="291">
        <v>2664</v>
      </c>
      <c r="G95" s="291">
        <v>1822</v>
      </c>
      <c r="H95" s="287">
        <v>0.27108985448254802</v>
      </c>
      <c r="I95" s="211">
        <v>6.8556531284303004</v>
      </c>
      <c r="J95" s="211">
        <v>7.6267123077539703E-2</v>
      </c>
      <c r="K95" s="288">
        <v>749.47701848298198</v>
      </c>
    </row>
    <row r="96" spans="2:11" x14ac:dyDescent="0.2">
      <c r="B96">
        <v>1</v>
      </c>
      <c r="C96">
        <v>116</v>
      </c>
      <c r="D96" s="308" t="s">
        <v>668</v>
      </c>
      <c r="E96" s="291">
        <v>3401</v>
      </c>
      <c r="F96" s="291">
        <v>1858</v>
      </c>
      <c r="G96" s="291">
        <v>855</v>
      </c>
      <c r="H96" s="287">
        <v>0.54630990885033803</v>
      </c>
      <c r="I96" s="211">
        <v>6.1508771929824597</v>
      </c>
      <c r="J96" s="211">
        <v>0.14606200243291201</v>
      </c>
      <c r="K96" s="288">
        <v>496.75687027433401</v>
      </c>
    </row>
    <row r="97" spans="2:11" x14ac:dyDescent="0.2">
      <c r="B97">
        <v>1</v>
      </c>
      <c r="C97">
        <v>117</v>
      </c>
      <c r="D97" s="308" t="s">
        <v>669</v>
      </c>
      <c r="E97" s="291">
        <v>11095</v>
      </c>
      <c r="F97" s="291">
        <v>6738</v>
      </c>
      <c r="G97" s="291">
        <v>2186</v>
      </c>
      <c r="H97" s="287">
        <v>0.60730058584948199</v>
      </c>
      <c r="I97" s="211">
        <v>8.1578225068618497</v>
      </c>
      <c r="J97" s="211">
        <v>0.58884693120893905</v>
      </c>
      <c r="K97" s="288">
        <v>6533.25670176318</v>
      </c>
    </row>
    <row r="98" spans="2:11" x14ac:dyDescent="0.2">
      <c r="B98">
        <v>1</v>
      </c>
      <c r="C98">
        <v>118</v>
      </c>
      <c r="D98" s="308" t="s">
        <v>670</v>
      </c>
      <c r="E98" s="291">
        <v>12086</v>
      </c>
      <c r="F98" s="291">
        <v>4667</v>
      </c>
      <c r="G98" s="291">
        <v>989</v>
      </c>
      <c r="H98" s="287">
        <v>0.386149263610789</v>
      </c>
      <c r="I98" s="211">
        <v>16.9393326592518</v>
      </c>
      <c r="J98" s="211">
        <v>0.67306491866262497</v>
      </c>
      <c r="K98" s="288">
        <v>8134.66260695649</v>
      </c>
    </row>
    <row r="99" spans="2:11" x14ac:dyDescent="0.2">
      <c r="B99">
        <v>1</v>
      </c>
      <c r="C99">
        <v>119</v>
      </c>
      <c r="D99" s="308" t="s">
        <v>671</v>
      </c>
      <c r="E99" s="291">
        <v>1443</v>
      </c>
      <c r="F99" s="291">
        <v>592</v>
      </c>
      <c r="G99" s="291">
        <v>307</v>
      </c>
      <c r="H99" s="287">
        <v>0.41025641025641002</v>
      </c>
      <c r="I99" s="211">
        <v>6.6286644951140099</v>
      </c>
      <c r="J99" s="211">
        <v>-7.9912589255671004E-2</v>
      </c>
      <c r="K99" s="288">
        <v>-115.313866295933</v>
      </c>
    </row>
    <row r="100" spans="2:11" x14ac:dyDescent="0.2">
      <c r="B100">
        <v>1</v>
      </c>
      <c r="C100">
        <v>120</v>
      </c>
      <c r="D100" s="308" t="s">
        <v>672</v>
      </c>
      <c r="E100" s="291">
        <v>9645</v>
      </c>
      <c r="F100" s="291">
        <v>3396</v>
      </c>
      <c r="G100" s="291">
        <v>2503</v>
      </c>
      <c r="H100" s="287">
        <v>0.352099533437014</v>
      </c>
      <c r="I100" s="211">
        <v>5.2101478226128597</v>
      </c>
      <c r="J100" s="211">
        <v>0.10966069202095</v>
      </c>
      <c r="K100" s="288">
        <v>1057.6773745420601</v>
      </c>
    </row>
    <row r="101" spans="2:11" x14ac:dyDescent="0.2">
      <c r="B101">
        <v>1</v>
      </c>
      <c r="C101">
        <v>121</v>
      </c>
      <c r="D101" s="308" t="s">
        <v>673</v>
      </c>
      <c r="E101" s="291">
        <v>24640</v>
      </c>
      <c r="F101" s="291">
        <v>14011</v>
      </c>
      <c r="G101" s="291">
        <v>1452</v>
      </c>
      <c r="H101" s="287">
        <v>0.56862824675324697</v>
      </c>
      <c r="I101" s="211">
        <v>26.619146005509599</v>
      </c>
      <c r="J101" s="211">
        <v>1.7320379815078499</v>
      </c>
      <c r="K101" s="288">
        <v>42677.415864353403</v>
      </c>
    </row>
    <row r="102" spans="2:11" x14ac:dyDescent="0.2">
      <c r="B102">
        <v>1</v>
      </c>
      <c r="C102">
        <v>131</v>
      </c>
      <c r="D102" s="308" t="s">
        <v>674</v>
      </c>
      <c r="E102" s="291">
        <v>18742</v>
      </c>
      <c r="F102" s="291">
        <v>8440</v>
      </c>
      <c r="G102" s="291">
        <v>762</v>
      </c>
      <c r="H102" s="287">
        <v>0.45032547220147301</v>
      </c>
      <c r="I102" s="211">
        <v>35.671916010498698</v>
      </c>
      <c r="J102" s="211">
        <v>1.69037413781827</v>
      </c>
      <c r="K102" s="288">
        <v>31680.992090989999</v>
      </c>
    </row>
    <row r="103" spans="2:11" x14ac:dyDescent="0.2">
      <c r="B103">
        <v>1</v>
      </c>
      <c r="C103">
        <v>132</v>
      </c>
      <c r="D103" s="308" t="s">
        <v>675</v>
      </c>
      <c r="E103" s="291">
        <v>2185</v>
      </c>
      <c r="F103" s="291">
        <v>632</v>
      </c>
      <c r="G103" s="291">
        <v>925</v>
      </c>
      <c r="H103" s="287">
        <v>0.28924485125858101</v>
      </c>
      <c r="I103" s="211">
        <v>3.0454054054054098</v>
      </c>
      <c r="J103" s="211">
        <v>-0.33225028885850799</v>
      </c>
      <c r="K103" s="288">
        <v>-725.96688115584095</v>
      </c>
    </row>
    <row r="104" spans="2:11" x14ac:dyDescent="0.2">
      <c r="B104">
        <v>1</v>
      </c>
      <c r="C104">
        <v>133</v>
      </c>
      <c r="D104" s="308" t="s">
        <v>676</v>
      </c>
      <c r="E104" s="291">
        <v>20291</v>
      </c>
      <c r="F104" s="291">
        <v>9383</v>
      </c>
      <c r="G104" s="291">
        <v>2060</v>
      </c>
      <c r="H104" s="287">
        <v>0.462421763343354</v>
      </c>
      <c r="I104" s="211">
        <v>14.404854368932</v>
      </c>
      <c r="J104" s="211">
        <v>0.98861680456964895</v>
      </c>
      <c r="K104" s="288">
        <v>20060.023581522699</v>
      </c>
    </row>
    <row r="105" spans="2:11" x14ac:dyDescent="0.2">
      <c r="B105">
        <v>1</v>
      </c>
      <c r="C105">
        <v>134</v>
      </c>
      <c r="D105" s="308" t="s">
        <v>677</v>
      </c>
      <c r="E105" s="291">
        <v>900</v>
      </c>
      <c r="F105" s="291">
        <v>250</v>
      </c>
      <c r="G105" s="291">
        <v>692</v>
      </c>
      <c r="H105" s="287">
        <v>0.27777777777777801</v>
      </c>
      <c r="I105" s="211">
        <v>1.66184971098266</v>
      </c>
      <c r="J105" s="211">
        <v>-0.44603835588313301</v>
      </c>
      <c r="K105" s="288">
        <v>-401.43452029481898</v>
      </c>
    </row>
    <row r="106" spans="2:11" x14ac:dyDescent="0.2">
      <c r="B106">
        <v>1</v>
      </c>
      <c r="C106">
        <v>135</v>
      </c>
      <c r="D106" s="308" t="s">
        <v>678</v>
      </c>
      <c r="E106" s="291">
        <v>8380</v>
      </c>
      <c r="F106" s="291">
        <v>4018</v>
      </c>
      <c r="G106" s="291">
        <v>258</v>
      </c>
      <c r="H106" s="287">
        <v>0.47947494033412902</v>
      </c>
      <c r="I106" s="211">
        <v>48.054263565891503</v>
      </c>
      <c r="J106" s="211">
        <v>1.7823410727245601</v>
      </c>
      <c r="K106" s="288">
        <v>14936.018189431799</v>
      </c>
    </row>
    <row r="107" spans="2:11" x14ac:dyDescent="0.2">
      <c r="B107">
        <v>1</v>
      </c>
      <c r="C107">
        <v>136</v>
      </c>
      <c r="D107" s="308" t="s">
        <v>679</v>
      </c>
      <c r="E107" s="291">
        <v>7502</v>
      </c>
      <c r="F107" s="291">
        <v>1513</v>
      </c>
      <c r="G107" s="291">
        <v>854</v>
      </c>
      <c r="H107" s="287">
        <v>0.201679552119435</v>
      </c>
      <c r="I107" s="211">
        <v>10.556206088992999</v>
      </c>
      <c r="J107" s="211">
        <v>3.6434779534876997E-2</v>
      </c>
      <c r="K107" s="288">
        <v>273.33371607064697</v>
      </c>
    </row>
    <row r="108" spans="2:11" x14ac:dyDescent="0.2">
      <c r="B108">
        <v>1</v>
      </c>
      <c r="C108">
        <v>137</v>
      </c>
      <c r="D108" s="308" t="s">
        <v>680</v>
      </c>
      <c r="E108" s="291">
        <v>5035</v>
      </c>
      <c r="F108" s="291">
        <v>1178</v>
      </c>
      <c r="G108" s="291">
        <v>269</v>
      </c>
      <c r="H108" s="287">
        <v>0.23396226415094301</v>
      </c>
      <c r="I108" s="211">
        <v>23.096654275092899</v>
      </c>
      <c r="J108" s="211">
        <v>0.439716413493347</v>
      </c>
      <c r="K108" s="288">
        <v>2213.9721419389998</v>
      </c>
    </row>
    <row r="109" spans="2:11" x14ac:dyDescent="0.2">
      <c r="B109">
        <v>1</v>
      </c>
      <c r="C109">
        <v>138</v>
      </c>
      <c r="D109" s="308" t="s">
        <v>681</v>
      </c>
      <c r="E109" s="291">
        <v>13352</v>
      </c>
      <c r="F109" s="291">
        <v>4133</v>
      </c>
      <c r="G109" s="291">
        <v>747</v>
      </c>
      <c r="H109" s="287">
        <v>0.30954164170161802</v>
      </c>
      <c r="I109" s="211">
        <v>23.406961178045499</v>
      </c>
      <c r="J109" s="211">
        <v>0.86248143718936798</v>
      </c>
      <c r="K109" s="288">
        <v>11515.8521493524</v>
      </c>
    </row>
    <row r="110" spans="2:11" x14ac:dyDescent="0.2">
      <c r="B110">
        <v>1</v>
      </c>
      <c r="C110">
        <v>139</v>
      </c>
      <c r="D110" s="308" t="s">
        <v>682</v>
      </c>
      <c r="E110" s="291">
        <v>5744</v>
      </c>
      <c r="F110" s="291">
        <v>3114</v>
      </c>
      <c r="G110" s="291">
        <v>291</v>
      </c>
      <c r="H110" s="287">
        <v>0.54213091922005596</v>
      </c>
      <c r="I110" s="211">
        <v>30.4398625429553</v>
      </c>
      <c r="J110" s="211">
        <v>1.1165969314712001</v>
      </c>
      <c r="K110" s="288">
        <v>6413.7327743705901</v>
      </c>
    </row>
    <row r="111" spans="2:11" x14ac:dyDescent="0.2">
      <c r="B111">
        <v>1</v>
      </c>
      <c r="C111">
        <v>140</v>
      </c>
      <c r="D111" s="308" t="s">
        <v>683</v>
      </c>
      <c r="E111" s="291">
        <v>1849</v>
      </c>
      <c r="F111" s="291">
        <v>571</v>
      </c>
      <c r="G111" s="291">
        <v>1075</v>
      </c>
      <c r="H111" s="287">
        <v>0.30881557598701997</v>
      </c>
      <c r="I111" s="211">
        <v>2.2511627906976699</v>
      </c>
      <c r="J111" s="211">
        <v>-0.34981543432980899</v>
      </c>
      <c r="K111" s="288">
        <v>-646.80873807581702</v>
      </c>
    </row>
    <row r="112" spans="2:11" x14ac:dyDescent="0.2">
      <c r="B112">
        <v>1</v>
      </c>
      <c r="C112">
        <v>141</v>
      </c>
      <c r="D112" s="308" t="s">
        <v>684</v>
      </c>
      <c r="E112" s="291">
        <v>17789</v>
      </c>
      <c r="F112" s="291">
        <v>6421</v>
      </c>
      <c r="G112" s="291">
        <v>539</v>
      </c>
      <c r="H112" s="287">
        <v>0.36095339816740701</v>
      </c>
      <c r="I112" s="211">
        <v>44.916512059369197</v>
      </c>
      <c r="J112" s="211">
        <v>1.88050482012515</v>
      </c>
      <c r="K112" s="288">
        <v>33452.300245206199</v>
      </c>
    </row>
    <row r="113" spans="2:11" x14ac:dyDescent="0.2">
      <c r="B113">
        <v>1</v>
      </c>
      <c r="C113">
        <v>142</v>
      </c>
      <c r="D113" s="308" t="s">
        <v>685</v>
      </c>
      <c r="E113" s="291">
        <v>21797</v>
      </c>
      <c r="F113" s="291">
        <v>8904</v>
      </c>
      <c r="G113" s="291">
        <v>1708</v>
      </c>
      <c r="H113" s="287">
        <v>0.40849658209845402</v>
      </c>
      <c r="I113" s="211">
        <v>17.974824355971901</v>
      </c>
      <c r="J113" s="211">
        <v>1.10958919913197</v>
      </c>
      <c r="K113" s="288">
        <v>24185.715773479598</v>
      </c>
    </row>
    <row r="114" spans="2:11" x14ac:dyDescent="0.2">
      <c r="B114">
        <v>1</v>
      </c>
      <c r="C114">
        <v>151</v>
      </c>
      <c r="D114" s="308" t="s">
        <v>686</v>
      </c>
      <c r="E114" s="291">
        <v>5517</v>
      </c>
      <c r="F114" s="291">
        <v>2062</v>
      </c>
      <c r="G114" s="291">
        <v>295</v>
      </c>
      <c r="H114" s="287">
        <v>0.373753851731013</v>
      </c>
      <c r="I114" s="211">
        <v>25.691525423728802</v>
      </c>
      <c r="J114" s="211">
        <v>0.72603250580566503</v>
      </c>
      <c r="K114" s="288">
        <v>4005.5213345298598</v>
      </c>
    </row>
    <row r="115" spans="2:11" x14ac:dyDescent="0.2">
      <c r="B115">
        <v>1</v>
      </c>
      <c r="C115">
        <v>152</v>
      </c>
      <c r="D115" s="308" t="s">
        <v>687</v>
      </c>
      <c r="E115" s="291">
        <v>6300</v>
      </c>
      <c r="F115" s="291">
        <v>1420</v>
      </c>
      <c r="G115" s="291">
        <v>891</v>
      </c>
      <c r="H115" s="287">
        <v>0.22539682539682501</v>
      </c>
      <c r="I115" s="211">
        <v>8.6644219977553298</v>
      </c>
      <c r="J115" s="211">
        <v>-4.9125537372484603E-2</v>
      </c>
      <c r="K115" s="288">
        <v>-309.49088544665301</v>
      </c>
    </row>
    <row r="116" spans="2:11" x14ac:dyDescent="0.2">
      <c r="B116">
        <v>1</v>
      </c>
      <c r="C116">
        <v>153</v>
      </c>
      <c r="D116" s="308" t="s">
        <v>688</v>
      </c>
      <c r="E116" s="291">
        <v>8620</v>
      </c>
      <c r="F116" s="291">
        <v>3054</v>
      </c>
      <c r="G116" s="291">
        <v>1143</v>
      </c>
      <c r="H116" s="287">
        <v>0.35429234338747101</v>
      </c>
      <c r="I116" s="211">
        <v>10.2134733158355</v>
      </c>
      <c r="J116" s="211">
        <v>0.25576059075732899</v>
      </c>
      <c r="K116" s="288">
        <v>2204.6562923281799</v>
      </c>
    </row>
    <row r="117" spans="2:11" x14ac:dyDescent="0.2">
      <c r="B117">
        <v>1</v>
      </c>
      <c r="C117">
        <v>154</v>
      </c>
      <c r="D117" s="308" t="s">
        <v>689</v>
      </c>
      <c r="E117" s="291">
        <v>14192</v>
      </c>
      <c r="F117" s="291">
        <v>6395</v>
      </c>
      <c r="G117" s="291">
        <v>1222</v>
      </c>
      <c r="H117" s="287">
        <v>0.45060597519729401</v>
      </c>
      <c r="I117" s="211">
        <v>16.846972176759401</v>
      </c>
      <c r="J117" s="211">
        <v>0.83003671650562205</v>
      </c>
      <c r="K117" s="288">
        <v>11779.8810806478</v>
      </c>
    </row>
    <row r="118" spans="2:11" x14ac:dyDescent="0.2">
      <c r="B118">
        <v>1</v>
      </c>
      <c r="C118">
        <v>155</v>
      </c>
      <c r="D118" s="308" t="s">
        <v>690</v>
      </c>
      <c r="E118" s="291">
        <v>10830</v>
      </c>
      <c r="F118" s="291">
        <v>4900</v>
      </c>
      <c r="G118" s="291">
        <v>474</v>
      </c>
      <c r="H118" s="287">
        <v>0.452446906740536</v>
      </c>
      <c r="I118" s="211">
        <v>33.185654008438803</v>
      </c>
      <c r="J118" s="211">
        <v>1.29997784331692</v>
      </c>
      <c r="K118" s="288">
        <v>14078.7600431222</v>
      </c>
    </row>
    <row r="119" spans="2:11" x14ac:dyDescent="0.2">
      <c r="B119">
        <v>1</v>
      </c>
      <c r="C119">
        <v>156</v>
      </c>
      <c r="D119" s="308" t="s">
        <v>691</v>
      </c>
      <c r="E119" s="291">
        <v>13762</v>
      </c>
      <c r="F119" s="291">
        <v>6185</v>
      </c>
      <c r="G119" s="291">
        <v>1171</v>
      </c>
      <c r="H119" s="287">
        <v>0.44942595552971998</v>
      </c>
      <c r="I119" s="211">
        <v>17.034158838599499</v>
      </c>
      <c r="J119" s="211">
        <v>0.818973950178707</v>
      </c>
      <c r="K119" s="288">
        <v>11270.719502359399</v>
      </c>
    </row>
    <row r="120" spans="2:11" x14ac:dyDescent="0.2">
      <c r="B120">
        <v>1</v>
      </c>
      <c r="C120">
        <v>157</v>
      </c>
      <c r="D120" s="308" t="s">
        <v>692</v>
      </c>
      <c r="E120" s="291">
        <v>4743</v>
      </c>
      <c r="F120" s="291">
        <v>2111</v>
      </c>
      <c r="G120" s="291">
        <v>606</v>
      </c>
      <c r="H120" s="287">
        <v>0.445076955513388</v>
      </c>
      <c r="I120" s="211">
        <v>11.3102310231023</v>
      </c>
      <c r="J120" s="211">
        <v>0.260134943299757</v>
      </c>
      <c r="K120" s="288">
        <v>1233.8200360707499</v>
      </c>
    </row>
    <row r="121" spans="2:11" x14ac:dyDescent="0.2">
      <c r="B121">
        <v>1</v>
      </c>
      <c r="C121">
        <v>158</v>
      </c>
      <c r="D121" s="308" t="s">
        <v>693</v>
      </c>
      <c r="E121" s="291">
        <v>14291</v>
      </c>
      <c r="F121" s="291">
        <v>5966</v>
      </c>
      <c r="G121" s="291">
        <v>852</v>
      </c>
      <c r="H121" s="287">
        <v>0.41746553775103201</v>
      </c>
      <c r="I121" s="211">
        <v>23.7758215962441</v>
      </c>
      <c r="J121" s="211">
        <v>1.0455534996225999</v>
      </c>
      <c r="K121" s="288">
        <v>14942.005063106601</v>
      </c>
    </row>
    <row r="122" spans="2:11" x14ac:dyDescent="0.2">
      <c r="B122">
        <v>1</v>
      </c>
      <c r="C122">
        <v>159</v>
      </c>
      <c r="D122" s="308" t="s">
        <v>694</v>
      </c>
      <c r="E122" s="291">
        <v>6076</v>
      </c>
      <c r="F122" s="291">
        <v>1643</v>
      </c>
      <c r="G122" s="291">
        <v>349</v>
      </c>
      <c r="H122" s="287">
        <v>0.27040816326530598</v>
      </c>
      <c r="I122" s="211">
        <v>22.1174785100287</v>
      </c>
      <c r="J122" s="211">
        <v>0.48892949483335701</v>
      </c>
      <c r="K122" s="288">
        <v>2970.7356106074799</v>
      </c>
    </row>
    <row r="123" spans="2:11" x14ac:dyDescent="0.2">
      <c r="B123">
        <v>1</v>
      </c>
      <c r="C123">
        <v>160</v>
      </c>
      <c r="D123" s="308" t="s">
        <v>695</v>
      </c>
      <c r="E123" s="291">
        <v>5158</v>
      </c>
      <c r="F123" s="291">
        <v>1717</v>
      </c>
      <c r="G123" s="291">
        <v>545</v>
      </c>
      <c r="H123" s="287">
        <v>0.33288096161302799</v>
      </c>
      <c r="I123" s="211">
        <v>12.6146788990826</v>
      </c>
      <c r="J123" s="211">
        <v>0.18455566727655601</v>
      </c>
      <c r="K123" s="288">
        <v>951.93813181247594</v>
      </c>
    </row>
    <row r="124" spans="2:11" x14ac:dyDescent="0.2">
      <c r="B124">
        <v>1</v>
      </c>
      <c r="C124">
        <v>161</v>
      </c>
      <c r="D124" s="308" t="s">
        <v>696</v>
      </c>
      <c r="E124" s="291">
        <v>12791</v>
      </c>
      <c r="F124" s="291">
        <v>6098</v>
      </c>
      <c r="G124" s="291">
        <v>785</v>
      </c>
      <c r="H124" s="287">
        <v>0.47674145883824598</v>
      </c>
      <c r="I124" s="211">
        <v>24.062420382165602</v>
      </c>
      <c r="J124" s="211">
        <v>1.0721485069777299</v>
      </c>
      <c r="K124" s="288">
        <v>13713.851552752199</v>
      </c>
    </row>
    <row r="125" spans="2:11" x14ac:dyDescent="0.2">
      <c r="B125">
        <v>1</v>
      </c>
      <c r="C125">
        <v>172</v>
      </c>
      <c r="D125" s="308" t="s">
        <v>697</v>
      </c>
      <c r="E125" s="291">
        <v>6361</v>
      </c>
      <c r="F125" s="291">
        <v>4130</v>
      </c>
      <c r="G125" s="291">
        <v>938</v>
      </c>
      <c r="H125" s="287">
        <v>0.64926898286432999</v>
      </c>
      <c r="I125" s="211">
        <v>11.184434968017101</v>
      </c>
      <c r="J125" s="211">
        <v>0.57039560996843897</v>
      </c>
      <c r="K125" s="288">
        <v>3628.2864750092399</v>
      </c>
    </row>
    <row r="126" spans="2:11" x14ac:dyDescent="0.2">
      <c r="B126">
        <v>1</v>
      </c>
      <c r="C126">
        <v>173</v>
      </c>
      <c r="D126" s="308" t="s">
        <v>698</v>
      </c>
      <c r="E126" s="291">
        <v>3604</v>
      </c>
      <c r="F126" s="291">
        <v>786</v>
      </c>
      <c r="G126" s="291">
        <v>1280</v>
      </c>
      <c r="H126" s="287">
        <v>0.21809100998890099</v>
      </c>
      <c r="I126" s="211">
        <v>3.4296875</v>
      </c>
      <c r="J126" s="211">
        <v>-0.35218173001762298</v>
      </c>
      <c r="K126" s="288">
        <v>-1269.2629549835101</v>
      </c>
    </row>
    <row r="127" spans="2:11" x14ac:dyDescent="0.2">
      <c r="B127">
        <v>1</v>
      </c>
      <c r="C127">
        <v>176</v>
      </c>
      <c r="D127" s="308" t="s">
        <v>699</v>
      </c>
      <c r="E127" s="291">
        <v>5489</v>
      </c>
      <c r="F127" s="291">
        <v>2470</v>
      </c>
      <c r="G127" s="291">
        <v>1187</v>
      </c>
      <c r="H127" s="287">
        <v>0.44999089087265398</v>
      </c>
      <c r="I127" s="211">
        <v>6.7051390058972196</v>
      </c>
      <c r="J127" s="211">
        <v>0.12671065636371601</v>
      </c>
      <c r="K127" s="288">
        <v>695.51479278043598</v>
      </c>
    </row>
    <row r="128" spans="2:11" x14ac:dyDescent="0.2">
      <c r="B128">
        <v>1</v>
      </c>
      <c r="C128">
        <v>177</v>
      </c>
      <c r="D128" s="308" t="s">
        <v>700</v>
      </c>
      <c r="E128" s="291">
        <v>11774</v>
      </c>
      <c r="F128" s="291">
        <v>5700</v>
      </c>
      <c r="G128" s="291">
        <v>1615</v>
      </c>
      <c r="H128" s="287">
        <v>0.48411754713776101</v>
      </c>
      <c r="I128" s="211">
        <v>10.8198142414861</v>
      </c>
      <c r="J128" s="211">
        <v>0.559270468318815</v>
      </c>
      <c r="K128" s="288">
        <v>6584.8504939857203</v>
      </c>
    </row>
    <row r="129" spans="2:11" x14ac:dyDescent="0.2">
      <c r="B129">
        <v>1</v>
      </c>
      <c r="C129">
        <v>178</v>
      </c>
      <c r="D129" s="308" t="s">
        <v>701</v>
      </c>
      <c r="E129" s="291">
        <v>4361</v>
      </c>
      <c r="F129" s="291">
        <v>1275</v>
      </c>
      <c r="G129" s="291">
        <v>1408</v>
      </c>
      <c r="H129" s="287">
        <v>0.292364136665902</v>
      </c>
      <c r="I129" s="211">
        <v>4.0028409090909101</v>
      </c>
      <c r="J129" s="211">
        <v>-0.210308946487615</v>
      </c>
      <c r="K129" s="288">
        <v>-917.15731563249096</v>
      </c>
    </row>
    <row r="130" spans="2:11" x14ac:dyDescent="0.2">
      <c r="B130">
        <v>1</v>
      </c>
      <c r="C130">
        <v>180</v>
      </c>
      <c r="D130" s="308" t="s">
        <v>702</v>
      </c>
      <c r="E130" s="291">
        <v>3278</v>
      </c>
      <c r="F130" s="291">
        <v>857</v>
      </c>
      <c r="G130" s="291">
        <v>1261</v>
      </c>
      <c r="H130" s="287">
        <v>0.26143990237949999</v>
      </c>
      <c r="I130" s="211">
        <v>3.2791435368755</v>
      </c>
      <c r="J130" s="211">
        <v>-0.316414250997613</v>
      </c>
      <c r="K130" s="288">
        <v>-1037.20591477018</v>
      </c>
    </row>
    <row r="131" spans="2:11" x14ac:dyDescent="0.2">
      <c r="B131">
        <v>1</v>
      </c>
      <c r="C131">
        <v>181</v>
      </c>
      <c r="D131" s="308" t="s">
        <v>703</v>
      </c>
      <c r="E131" s="291">
        <v>1947</v>
      </c>
      <c r="F131" s="291">
        <v>654</v>
      </c>
      <c r="G131" s="291">
        <v>894</v>
      </c>
      <c r="H131" s="287">
        <v>0.33590138674884401</v>
      </c>
      <c r="I131" s="211">
        <v>2.9093959731543602</v>
      </c>
      <c r="J131" s="211">
        <v>-0.28849136844529599</v>
      </c>
      <c r="K131" s="288">
        <v>-561.69269436299203</v>
      </c>
    </row>
    <row r="132" spans="2:11" x14ac:dyDescent="0.2">
      <c r="B132">
        <v>1</v>
      </c>
      <c r="C132">
        <v>182</v>
      </c>
      <c r="D132" s="308" t="s">
        <v>704</v>
      </c>
      <c r="E132" s="291">
        <v>985</v>
      </c>
      <c r="F132" s="291">
        <v>214</v>
      </c>
      <c r="G132" s="291">
        <v>1014</v>
      </c>
      <c r="H132" s="287">
        <v>0.21725888324873099</v>
      </c>
      <c r="I132" s="211">
        <v>1.18244575936884</v>
      </c>
      <c r="J132" s="211">
        <v>-0.53527454659656304</v>
      </c>
      <c r="K132" s="288">
        <v>-527.245428397615</v>
      </c>
    </row>
    <row r="133" spans="2:11" x14ac:dyDescent="0.2">
      <c r="B133">
        <v>1</v>
      </c>
      <c r="C133">
        <v>191</v>
      </c>
      <c r="D133" s="308" t="s">
        <v>705</v>
      </c>
      <c r="E133" s="291">
        <v>27689</v>
      </c>
      <c r="F133" s="291">
        <v>19891</v>
      </c>
      <c r="G133" s="291">
        <v>1348</v>
      </c>
      <c r="H133" s="287">
        <v>0.71837191664559896</v>
      </c>
      <c r="I133" s="211">
        <v>35.2967359050445</v>
      </c>
      <c r="J133" s="211">
        <v>2.35069928281384</v>
      </c>
      <c r="K133" s="288">
        <v>65088.512441832499</v>
      </c>
    </row>
    <row r="134" spans="2:11" x14ac:dyDescent="0.2">
      <c r="B134">
        <v>1</v>
      </c>
      <c r="C134">
        <v>192</v>
      </c>
      <c r="D134" s="308" t="s">
        <v>706</v>
      </c>
      <c r="E134" s="291">
        <v>8405</v>
      </c>
      <c r="F134" s="291">
        <v>2469</v>
      </c>
      <c r="G134" s="291">
        <v>1437</v>
      </c>
      <c r="H134" s="287">
        <v>0.29375371802498501</v>
      </c>
      <c r="I134" s="211">
        <v>7.5671537926235199</v>
      </c>
      <c r="J134" s="211">
        <v>7.59767518188839E-2</v>
      </c>
      <c r="K134" s="288">
        <v>638.58459903771904</v>
      </c>
    </row>
    <row r="135" spans="2:11" x14ac:dyDescent="0.2">
      <c r="B135">
        <v>1</v>
      </c>
      <c r="C135">
        <v>193</v>
      </c>
      <c r="D135" s="308" t="s">
        <v>707</v>
      </c>
      <c r="E135" s="291">
        <v>8417</v>
      </c>
      <c r="F135" s="291">
        <v>2864</v>
      </c>
      <c r="G135" s="291">
        <v>614</v>
      </c>
      <c r="H135" s="287">
        <v>0.34026375193061698</v>
      </c>
      <c r="I135" s="211">
        <v>18.372964169381099</v>
      </c>
      <c r="J135" s="211">
        <v>0.52832103276990705</v>
      </c>
      <c r="K135" s="288">
        <v>4446.8781328243103</v>
      </c>
    </row>
    <row r="136" spans="2:11" x14ac:dyDescent="0.2">
      <c r="B136">
        <v>1</v>
      </c>
      <c r="C136">
        <v>194</v>
      </c>
      <c r="D136" s="308" t="s">
        <v>708</v>
      </c>
      <c r="E136" s="291">
        <v>5381</v>
      </c>
      <c r="F136" s="291">
        <v>1802</v>
      </c>
      <c r="G136" s="291">
        <v>210</v>
      </c>
      <c r="H136" s="287">
        <v>0.334881992194759</v>
      </c>
      <c r="I136" s="211">
        <v>34.204761904761902</v>
      </c>
      <c r="J136" s="211">
        <v>0.98327457666548101</v>
      </c>
      <c r="K136" s="288">
        <v>5291.00049703696</v>
      </c>
    </row>
    <row r="137" spans="2:11" x14ac:dyDescent="0.2">
      <c r="B137">
        <v>1</v>
      </c>
      <c r="C137">
        <v>195</v>
      </c>
      <c r="D137" s="308" t="s">
        <v>709</v>
      </c>
      <c r="E137" s="291">
        <v>10067</v>
      </c>
      <c r="F137" s="291">
        <v>2288</v>
      </c>
      <c r="G137" s="291">
        <v>1473</v>
      </c>
      <c r="H137" s="287">
        <v>0.227277242475415</v>
      </c>
      <c r="I137" s="211">
        <v>8.3876442634080099</v>
      </c>
      <c r="J137" s="211">
        <v>8.7041387444171198E-2</v>
      </c>
      <c r="K137" s="288">
        <v>876.24564740047094</v>
      </c>
    </row>
    <row r="138" spans="2:11" x14ac:dyDescent="0.2">
      <c r="B138">
        <v>1</v>
      </c>
      <c r="C138">
        <v>196</v>
      </c>
      <c r="D138" s="308" t="s">
        <v>710</v>
      </c>
      <c r="E138" s="291">
        <v>3701</v>
      </c>
      <c r="F138" s="291">
        <v>1391</v>
      </c>
      <c r="G138" s="291">
        <v>727</v>
      </c>
      <c r="H138" s="287">
        <v>0.37584436638746299</v>
      </c>
      <c r="I138" s="211">
        <v>7.0041265474553001</v>
      </c>
      <c r="J138" s="211">
        <v>-2.25789684397385E-2</v>
      </c>
      <c r="K138" s="288">
        <v>-83.564762195472198</v>
      </c>
    </row>
    <row r="139" spans="2:11" x14ac:dyDescent="0.2">
      <c r="B139">
        <v>1</v>
      </c>
      <c r="C139">
        <v>197</v>
      </c>
      <c r="D139" s="308" t="s">
        <v>711</v>
      </c>
      <c r="E139" s="291">
        <v>5069</v>
      </c>
      <c r="F139" s="291">
        <v>2473</v>
      </c>
      <c r="G139" s="291">
        <v>227</v>
      </c>
      <c r="H139" s="287">
        <v>0.487867429473269</v>
      </c>
      <c r="I139" s="211">
        <v>33.224669603524198</v>
      </c>
      <c r="J139" s="211">
        <v>1.12516842339455</v>
      </c>
      <c r="K139" s="288">
        <v>5703.4787381869901</v>
      </c>
    </row>
    <row r="140" spans="2:11" x14ac:dyDescent="0.2">
      <c r="B140">
        <v>1</v>
      </c>
      <c r="C140">
        <v>198</v>
      </c>
      <c r="D140" s="308" t="s">
        <v>712</v>
      </c>
      <c r="E140" s="291">
        <v>34319</v>
      </c>
      <c r="F140" s="291">
        <v>16330</v>
      </c>
      <c r="G140" s="291">
        <v>2744</v>
      </c>
      <c r="H140" s="287">
        <v>0.47582971531804502</v>
      </c>
      <c r="I140" s="211">
        <v>18.458090379008699</v>
      </c>
      <c r="J140" s="211">
        <v>1.68911704059616</v>
      </c>
      <c r="K140" s="288">
        <v>57968.807716219599</v>
      </c>
    </row>
    <row r="141" spans="2:11" x14ac:dyDescent="0.2">
      <c r="B141">
        <v>1</v>
      </c>
      <c r="C141">
        <v>199</v>
      </c>
      <c r="D141" s="308" t="s">
        <v>713</v>
      </c>
      <c r="E141" s="291">
        <v>18582</v>
      </c>
      <c r="F141" s="291">
        <v>11124</v>
      </c>
      <c r="G141" s="291">
        <v>1380</v>
      </c>
      <c r="H141" s="287">
        <v>0.59864384888601896</v>
      </c>
      <c r="I141" s="211">
        <v>21.526086956521699</v>
      </c>
      <c r="J141" s="211">
        <v>1.35193797271928</v>
      </c>
      <c r="K141" s="288">
        <v>25121.7114090697</v>
      </c>
    </row>
    <row r="142" spans="2:11" x14ac:dyDescent="0.2">
      <c r="B142">
        <v>1</v>
      </c>
      <c r="C142">
        <v>200</v>
      </c>
      <c r="D142" s="308" t="s">
        <v>714</v>
      </c>
      <c r="E142" s="291">
        <v>7860</v>
      </c>
      <c r="F142" s="291">
        <v>5406</v>
      </c>
      <c r="G142" s="291">
        <v>786</v>
      </c>
      <c r="H142" s="287">
        <v>0.68778625954198502</v>
      </c>
      <c r="I142" s="211">
        <v>16.877862595419799</v>
      </c>
      <c r="J142" s="211">
        <v>0.883126704074505</v>
      </c>
      <c r="K142" s="288">
        <v>6941.3758940256103</v>
      </c>
    </row>
    <row r="143" spans="2:11" x14ac:dyDescent="0.2">
      <c r="B143">
        <v>1</v>
      </c>
      <c r="C143">
        <v>211</v>
      </c>
      <c r="D143" s="308" t="s">
        <v>715</v>
      </c>
      <c r="E143" s="291">
        <v>658</v>
      </c>
      <c r="F143" s="291">
        <v>146</v>
      </c>
      <c r="G143" s="291">
        <v>728</v>
      </c>
      <c r="H143" s="287">
        <v>0.221884498480243</v>
      </c>
      <c r="I143" s="211">
        <v>1.1043956043956</v>
      </c>
      <c r="J143" s="211">
        <v>-0.54488482242215996</v>
      </c>
      <c r="K143" s="288">
        <v>-358.53421315378102</v>
      </c>
    </row>
    <row r="144" spans="2:11" x14ac:dyDescent="0.2">
      <c r="B144">
        <v>1</v>
      </c>
      <c r="C144">
        <v>213</v>
      </c>
      <c r="D144" s="308" t="s">
        <v>716</v>
      </c>
      <c r="E144" s="291">
        <v>2030</v>
      </c>
      <c r="F144" s="291">
        <v>343</v>
      </c>
      <c r="G144" s="291">
        <v>664</v>
      </c>
      <c r="H144" s="287">
        <v>0.16896551724137901</v>
      </c>
      <c r="I144" s="211">
        <v>3.57379518072289</v>
      </c>
      <c r="J144" s="211">
        <v>-0.467940186233884</v>
      </c>
      <c r="K144" s="288">
        <v>-949.91857805478503</v>
      </c>
    </row>
    <row r="145" spans="2:11" x14ac:dyDescent="0.2">
      <c r="B145">
        <v>1</v>
      </c>
      <c r="C145">
        <v>214</v>
      </c>
      <c r="D145" s="308" t="s">
        <v>717</v>
      </c>
      <c r="E145" s="291">
        <v>999</v>
      </c>
      <c r="F145" s="291">
        <v>304</v>
      </c>
      <c r="G145" s="291">
        <v>793</v>
      </c>
      <c r="H145" s="287">
        <v>0.304304304304304</v>
      </c>
      <c r="I145" s="211">
        <v>1.64312736443884</v>
      </c>
      <c r="J145" s="211">
        <v>-0.41006798637476699</v>
      </c>
      <c r="K145" s="288">
        <v>-409.65791838839198</v>
      </c>
    </row>
    <row r="146" spans="2:11" x14ac:dyDescent="0.2">
      <c r="B146">
        <v>1</v>
      </c>
      <c r="C146">
        <v>215</v>
      </c>
      <c r="D146" s="308" t="s">
        <v>718</v>
      </c>
      <c r="E146" s="291">
        <v>781</v>
      </c>
      <c r="F146" s="291">
        <v>156</v>
      </c>
      <c r="G146" s="291">
        <v>283</v>
      </c>
      <c r="H146" s="287">
        <v>0.199743918053777</v>
      </c>
      <c r="I146" s="211">
        <v>3.3109540636042398</v>
      </c>
      <c r="J146" s="211">
        <v>-0.487114134683583</v>
      </c>
      <c r="K146" s="288">
        <v>-380.43613918787798</v>
      </c>
    </row>
    <row r="147" spans="2:11" x14ac:dyDescent="0.2">
      <c r="B147">
        <v>1</v>
      </c>
      <c r="C147">
        <v>216</v>
      </c>
      <c r="D147" s="308" t="s">
        <v>719</v>
      </c>
      <c r="E147" s="291">
        <v>1534</v>
      </c>
      <c r="F147" s="291">
        <v>378</v>
      </c>
      <c r="G147" s="291">
        <v>702</v>
      </c>
      <c r="H147" s="287">
        <v>0.24641460234680601</v>
      </c>
      <c r="I147" s="211">
        <v>2.7236467236467199</v>
      </c>
      <c r="J147" s="211">
        <v>-0.42193779373176299</v>
      </c>
      <c r="K147" s="288">
        <v>-647.25257558452404</v>
      </c>
    </row>
    <row r="148" spans="2:11" x14ac:dyDescent="0.2">
      <c r="B148">
        <v>1</v>
      </c>
      <c r="C148">
        <v>217</v>
      </c>
      <c r="D148" s="308" t="s">
        <v>720</v>
      </c>
      <c r="E148" s="291">
        <v>4323</v>
      </c>
      <c r="F148" s="291">
        <v>1573</v>
      </c>
      <c r="G148" s="291">
        <v>1546</v>
      </c>
      <c r="H148" s="287">
        <v>0.36386768447837098</v>
      </c>
      <c r="I148" s="211">
        <v>3.8137128072444999</v>
      </c>
      <c r="J148" s="211">
        <v>-0.13005665081468201</v>
      </c>
      <c r="K148" s="288">
        <v>-562.23490147186999</v>
      </c>
    </row>
    <row r="149" spans="2:11" x14ac:dyDescent="0.2">
      <c r="B149">
        <v>1</v>
      </c>
      <c r="C149">
        <v>218</v>
      </c>
      <c r="D149" s="308" t="s">
        <v>721</v>
      </c>
      <c r="E149" s="291">
        <v>891</v>
      </c>
      <c r="F149" s="291">
        <v>606</v>
      </c>
      <c r="G149" s="291">
        <v>495</v>
      </c>
      <c r="H149" s="287">
        <v>0.68013468013468004</v>
      </c>
      <c r="I149" s="211">
        <v>3.02424242424242</v>
      </c>
      <c r="J149" s="211">
        <v>0.101911184062948</v>
      </c>
      <c r="K149" s="288">
        <v>90.8028650000863</v>
      </c>
    </row>
    <row r="150" spans="2:11" x14ac:dyDescent="0.2">
      <c r="B150">
        <v>1</v>
      </c>
      <c r="C150">
        <v>219</v>
      </c>
      <c r="D150" s="308" t="s">
        <v>722</v>
      </c>
      <c r="E150" s="291">
        <v>3558</v>
      </c>
      <c r="F150" s="291">
        <v>1311</v>
      </c>
      <c r="G150" s="291">
        <v>799</v>
      </c>
      <c r="H150" s="287">
        <v>0.36846543001686299</v>
      </c>
      <c r="I150" s="211">
        <v>6.0938673341677099</v>
      </c>
      <c r="J150" s="211">
        <v>-7.0397629476437795E-2</v>
      </c>
      <c r="K150" s="288">
        <v>-250.474765677166</v>
      </c>
    </row>
    <row r="151" spans="2:11" x14ac:dyDescent="0.2">
      <c r="B151">
        <v>1</v>
      </c>
      <c r="C151">
        <v>220</v>
      </c>
      <c r="D151" s="308" t="s">
        <v>723</v>
      </c>
      <c r="E151" s="291">
        <v>1095</v>
      </c>
      <c r="F151" s="291">
        <v>236</v>
      </c>
      <c r="G151" s="291">
        <v>811</v>
      </c>
      <c r="H151" s="287">
        <v>0.215525114155251</v>
      </c>
      <c r="I151" s="211">
        <v>1.64118372379778</v>
      </c>
      <c r="J151" s="211">
        <v>-0.51648278103830203</v>
      </c>
      <c r="K151" s="288">
        <v>-565.54864523694096</v>
      </c>
    </row>
    <row r="152" spans="2:11" x14ac:dyDescent="0.2">
      <c r="B152">
        <v>1</v>
      </c>
      <c r="C152">
        <v>221</v>
      </c>
      <c r="D152" s="308" t="s">
        <v>724</v>
      </c>
      <c r="E152" s="291">
        <v>3168</v>
      </c>
      <c r="F152" s="291">
        <v>626</v>
      </c>
      <c r="G152" s="291">
        <v>576</v>
      </c>
      <c r="H152" s="287">
        <v>0.19760101010101</v>
      </c>
      <c r="I152" s="211">
        <v>6.5868055555555598</v>
      </c>
      <c r="J152" s="211">
        <v>-0.27904343429675899</v>
      </c>
      <c r="K152" s="288">
        <v>-884.00959985213206</v>
      </c>
    </row>
    <row r="153" spans="2:11" x14ac:dyDescent="0.2">
      <c r="B153">
        <v>1</v>
      </c>
      <c r="C153">
        <v>222</v>
      </c>
      <c r="D153" s="308" t="s">
        <v>725</v>
      </c>
      <c r="E153" s="291">
        <v>498</v>
      </c>
      <c r="F153" s="291">
        <v>125</v>
      </c>
      <c r="G153" s="291">
        <v>885</v>
      </c>
      <c r="H153" s="287">
        <v>0.25100401606425699</v>
      </c>
      <c r="I153" s="211">
        <v>0.70395480225988705</v>
      </c>
      <c r="J153" s="211">
        <v>-0.52952463984809195</v>
      </c>
      <c r="K153" s="288">
        <v>-263.70327064435003</v>
      </c>
    </row>
    <row r="154" spans="2:11" x14ac:dyDescent="0.2">
      <c r="B154">
        <v>1</v>
      </c>
      <c r="C154">
        <v>223</v>
      </c>
      <c r="D154" s="308" t="s">
        <v>726</v>
      </c>
      <c r="E154" s="291">
        <v>5564</v>
      </c>
      <c r="F154" s="291">
        <v>1662</v>
      </c>
      <c r="G154" s="291">
        <v>1491</v>
      </c>
      <c r="H154" s="287">
        <v>0.29870596693026602</v>
      </c>
      <c r="I154" s="211">
        <v>4.8464118041582802</v>
      </c>
      <c r="J154" s="211">
        <v>-0.12570652940956201</v>
      </c>
      <c r="K154" s="288">
        <v>-699.43112963480303</v>
      </c>
    </row>
    <row r="155" spans="2:11" x14ac:dyDescent="0.2">
      <c r="B155">
        <v>1</v>
      </c>
      <c r="C155">
        <v>224</v>
      </c>
      <c r="D155" s="308" t="s">
        <v>727</v>
      </c>
      <c r="E155" s="291">
        <v>3769</v>
      </c>
      <c r="F155" s="291">
        <v>1351</v>
      </c>
      <c r="G155" s="291">
        <v>488</v>
      </c>
      <c r="H155" s="287">
        <v>0.358450517378615</v>
      </c>
      <c r="I155" s="211">
        <v>10.491803278688501</v>
      </c>
      <c r="J155" s="211">
        <v>8.5714039940162606E-2</v>
      </c>
      <c r="K155" s="288">
        <v>323.05621653447298</v>
      </c>
    </row>
    <row r="156" spans="2:11" x14ac:dyDescent="0.2">
      <c r="B156">
        <v>1</v>
      </c>
      <c r="C156">
        <v>225</v>
      </c>
      <c r="D156" s="308" t="s">
        <v>728</v>
      </c>
      <c r="E156" s="291">
        <v>2701</v>
      </c>
      <c r="F156" s="291">
        <v>486</v>
      </c>
      <c r="G156" s="291">
        <v>597</v>
      </c>
      <c r="H156" s="287">
        <v>0.17993335801554999</v>
      </c>
      <c r="I156" s="211">
        <v>5.3383584589614701</v>
      </c>
      <c r="J156" s="211">
        <v>-0.36433022516625502</v>
      </c>
      <c r="K156" s="288">
        <v>-984.05593817405395</v>
      </c>
    </row>
    <row r="157" spans="2:11" x14ac:dyDescent="0.2">
      <c r="B157">
        <v>1</v>
      </c>
      <c r="C157">
        <v>226</v>
      </c>
      <c r="D157" s="308" t="s">
        <v>729</v>
      </c>
      <c r="E157" s="291">
        <v>745</v>
      </c>
      <c r="F157" s="291">
        <v>134</v>
      </c>
      <c r="G157" s="291">
        <v>892</v>
      </c>
      <c r="H157" s="287">
        <v>0.17986577181208099</v>
      </c>
      <c r="I157" s="211">
        <v>0.98542600896860999</v>
      </c>
      <c r="J157" s="211">
        <v>-0.59796932826043303</v>
      </c>
      <c r="K157" s="288">
        <v>-445.48714955402301</v>
      </c>
    </row>
    <row r="158" spans="2:11" x14ac:dyDescent="0.2">
      <c r="B158">
        <v>1</v>
      </c>
      <c r="C158">
        <v>227</v>
      </c>
      <c r="D158" s="308" t="s">
        <v>730</v>
      </c>
      <c r="E158" s="291">
        <v>7265</v>
      </c>
      <c r="F158" s="291">
        <v>2712</v>
      </c>
      <c r="G158" s="291">
        <v>756</v>
      </c>
      <c r="H158" s="287">
        <v>0.37329662766689597</v>
      </c>
      <c r="I158" s="211">
        <v>13.1970899470899</v>
      </c>
      <c r="J158" s="211">
        <v>0.33639405010103801</v>
      </c>
      <c r="K158" s="288">
        <v>2443.9027739840399</v>
      </c>
    </row>
    <row r="159" spans="2:11" x14ac:dyDescent="0.2">
      <c r="B159">
        <v>1</v>
      </c>
      <c r="C159">
        <v>228</v>
      </c>
      <c r="D159" s="308" t="s">
        <v>731</v>
      </c>
      <c r="E159" s="291">
        <v>4681</v>
      </c>
      <c r="F159" s="291">
        <v>1522</v>
      </c>
      <c r="G159" s="291">
        <v>2502</v>
      </c>
      <c r="H159" s="287">
        <v>0.325144199957274</v>
      </c>
      <c r="I159" s="211">
        <v>2.4792166266986402</v>
      </c>
      <c r="J159" s="211">
        <v>-0.21305178044727699</v>
      </c>
      <c r="K159" s="288">
        <v>-997.29538427370198</v>
      </c>
    </row>
    <row r="160" spans="2:11" x14ac:dyDescent="0.2">
      <c r="B160">
        <v>1</v>
      </c>
      <c r="C160">
        <v>230</v>
      </c>
      <c r="D160" s="308" t="s">
        <v>732</v>
      </c>
      <c r="E160" s="291">
        <v>109775</v>
      </c>
      <c r="F160" s="291">
        <v>70633</v>
      </c>
      <c r="G160" s="291">
        <v>6734</v>
      </c>
      <c r="H160" s="287">
        <v>0.643434297426554</v>
      </c>
      <c r="I160" s="211">
        <v>26.7906147906148</v>
      </c>
      <c r="J160" s="211">
        <v>5.0839542172651697</v>
      </c>
      <c r="K160" s="288">
        <v>558091.07420028397</v>
      </c>
    </row>
    <row r="161" spans="2:11" x14ac:dyDescent="0.2">
      <c r="B161">
        <v>1</v>
      </c>
      <c r="C161">
        <v>231</v>
      </c>
      <c r="D161" s="308" t="s">
        <v>733</v>
      </c>
      <c r="E161" s="291">
        <v>5756</v>
      </c>
      <c r="F161" s="291">
        <v>1485</v>
      </c>
      <c r="G161" s="291">
        <v>1268</v>
      </c>
      <c r="H161" s="287">
        <v>0.25799166087560799</v>
      </c>
      <c r="I161" s="211">
        <v>5.7105678233438502</v>
      </c>
      <c r="J161" s="211">
        <v>-0.13729311065173599</v>
      </c>
      <c r="K161" s="288">
        <v>-790.25914491138997</v>
      </c>
    </row>
    <row r="162" spans="2:11" x14ac:dyDescent="0.2">
      <c r="B162">
        <v>1</v>
      </c>
      <c r="C162">
        <v>241</v>
      </c>
      <c r="D162" s="308" t="s">
        <v>734</v>
      </c>
      <c r="E162" s="291">
        <v>1275</v>
      </c>
      <c r="F162" s="291">
        <v>360</v>
      </c>
      <c r="G162" s="291">
        <v>520</v>
      </c>
      <c r="H162" s="287">
        <v>0.28235294117647097</v>
      </c>
      <c r="I162" s="211">
        <v>3.1442307692307701</v>
      </c>
      <c r="J162" s="211">
        <v>-0.37195545039313799</v>
      </c>
      <c r="K162" s="288">
        <v>-474.24319925125002</v>
      </c>
    </row>
    <row r="163" spans="2:11" x14ac:dyDescent="0.2">
      <c r="B163">
        <v>1</v>
      </c>
      <c r="C163">
        <v>242</v>
      </c>
      <c r="D163" s="308" t="s">
        <v>735</v>
      </c>
      <c r="E163" s="291">
        <v>6313</v>
      </c>
      <c r="F163" s="291">
        <v>2243</v>
      </c>
      <c r="G163" s="291">
        <v>1128</v>
      </c>
      <c r="H163" s="287">
        <v>0.355298590210676</v>
      </c>
      <c r="I163" s="211">
        <v>7.5851063829787204</v>
      </c>
      <c r="J163" s="211">
        <v>7.2961744719378205E-2</v>
      </c>
      <c r="K163" s="288">
        <v>460.60749441343501</v>
      </c>
    </row>
    <row r="164" spans="2:11" x14ac:dyDescent="0.2">
      <c r="B164">
        <v>1</v>
      </c>
      <c r="C164">
        <v>243</v>
      </c>
      <c r="D164" s="308" t="s">
        <v>736</v>
      </c>
      <c r="E164" s="291">
        <v>27076</v>
      </c>
      <c r="F164" s="291">
        <v>17573</v>
      </c>
      <c r="G164" s="291">
        <v>867</v>
      </c>
      <c r="H164" s="287">
        <v>0.64902496676023003</v>
      </c>
      <c r="I164" s="211">
        <v>51.498269896193797</v>
      </c>
      <c r="J164" s="211">
        <v>2.8324609037735899</v>
      </c>
      <c r="K164" s="288">
        <v>76691.711430573603</v>
      </c>
    </row>
    <row r="165" spans="2:11" x14ac:dyDescent="0.2">
      <c r="B165">
        <v>1</v>
      </c>
      <c r="C165">
        <v>244</v>
      </c>
      <c r="D165" s="308" t="s">
        <v>737</v>
      </c>
      <c r="E165" s="291">
        <v>4958</v>
      </c>
      <c r="F165" s="291">
        <v>1910</v>
      </c>
      <c r="G165" s="291">
        <v>175</v>
      </c>
      <c r="H165" s="287">
        <v>0.38523598225090799</v>
      </c>
      <c r="I165" s="211">
        <v>39.2457142857143</v>
      </c>
      <c r="J165" s="211">
        <v>1.2134290084928601</v>
      </c>
      <c r="K165" s="288">
        <v>6016.18102410762</v>
      </c>
    </row>
    <row r="166" spans="2:11" x14ac:dyDescent="0.2">
      <c r="B166">
        <v>1</v>
      </c>
      <c r="C166">
        <v>245</v>
      </c>
      <c r="D166" s="308" t="s">
        <v>738</v>
      </c>
      <c r="E166" s="291">
        <v>6611</v>
      </c>
      <c r="F166" s="291">
        <v>1134</v>
      </c>
      <c r="G166" s="291">
        <v>204</v>
      </c>
      <c r="H166" s="287">
        <v>0.171532294660414</v>
      </c>
      <c r="I166" s="211">
        <v>37.9656862745098</v>
      </c>
      <c r="J166" s="211">
        <v>0.96507322973038701</v>
      </c>
      <c r="K166" s="288">
        <v>6380.0991217475903</v>
      </c>
    </row>
    <row r="167" spans="2:11" x14ac:dyDescent="0.2">
      <c r="B167">
        <v>1</v>
      </c>
      <c r="C167">
        <v>246</v>
      </c>
      <c r="D167" s="308" t="s">
        <v>739</v>
      </c>
      <c r="E167" s="291">
        <v>2451</v>
      </c>
      <c r="F167" s="291">
        <v>277</v>
      </c>
      <c r="G167" s="291">
        <v>264</v>
      </c>
      <c r="H167" s="287">
        <v>0.113015095879233</v>
      </c>
      <c r="I167" s="211">
        <v>10.3333333333333</v>
      </c>
      <c r="J167" s="211">
        <v>-0.27456262443118401</v>
      </c>
      <c r="K167" s="288">
        <v>-672.95299248083097</v>
      </c>
    </row>
    <row r="168" spans="2:11" x14ac:dyDescent="0.2">
      <c r="B168">
        <v>1</v>
      </c>
      <c r="C168">
        <v>247</v>
      </c>
      <c r="D168" s="308" t="s">
        <v>740</v>
      </c>
      <c r="E168" s="291">
        <v>18749</v>
      </c>
      <c r="F168" s="291">
        <v>17251</v>
      </c>
      <c r="G168" s="291">
        <v>644</v>
      </c>
      <c r="H168" s="287">
        <v>0.92010240546162503</v>
      </c>
      <c r="I168" s="211">
        <v>55.900621118012403</v>
      </c>
      <c r="J168" s="211">
        <v>3.0108207792233799</v>
      </c>
      <c r="K168" s="288">
        <v>56449.878789659197</v>
      </c>
    </row>
    <row r="169" spans="2:11" x14ac:dyDescent="0.2">
      <c r="B169">
        <v>1</v>
      </c>
      <c r="C169">
        <v>248</v>
      </c>
      <c r="D169" s="308" t="s">
        <v>741</v>
      </c>
      <c r="E169" s="291">
        <v>4155</v>
      </c>
      <c r="F169" s="291">
        <v>977</v>
      </c>
      <c r="G169" s="291">
        <v>439</v>
      </c>
      <c r="H169" s="287">
        <v>0.23513838748495799</v>
      </c>
      <c r="I169" s="211">
        <v>11.6902050113895</v>
      </c>
      <c r="J169" s="211">
        <v>-8.6171431143900693E-3</v>
      </c>
      <c r="K169" s="288">
        <v>-35.8042296402907</v>
      </c>
    </row>
    <row r="170" spans="2:11" x14ac:dyDescent="0.2">
      <c r="B170">
        <v>1</v>
      </c>
      <c r="C170">
        <v>249</v>
      </c>
      <c r="D170" s="308" t="s">
        <v>742</v>
      </c>
      <c r="E170" s="291">
        <v>3758</v>
      </c>
      <c r="F170" s="291">
        <v>943</v>
      </c>
      <c r="G170" s="291">
        <v>323</v>
      </c>
      <c r="H170" s="287">
        <v>0.250931346460883</v>
      </c>
      <c r="I170" s="211">
        <v>14.5541795665635</v>
      </c>
      <c r="J170" s="211">
        <v>0.10027646321889799</v>
      </c>
      <c r="K170" s="288">
        <v>376.83894877661999</v>
      </c>
    </row>
    <row r="171" spans="2:11" x14ac:dyDescent="0.2">
      <c r="B171">
        <v>1</v>
      </c>
      <c r="C171">
        <v>250</v>
      </c>
      <c r="D171" s="308" t="s">
        <v>743</v>
      </c>
      <c r="E171" s="291">
        <v>9657</v>
      </c>
      <c r="F171" s="291">
        <v>6319</v>
      </c>
      <c r="G171" s="291">
        <v>750</v>
      </c>
      <c r="H171" s="287">
        <v>0.65434399917158503</v>
      </c>
      <c r="I171" s="211">
        <v>21.3013333333333</v>
      </c>
      <c r="J171" s="211">
        <v>1.0717399048610099</v>
      </c>
      <c r="K171" s="288">
        <v>10349.792261242799</v>
      </c>
    </row>
    <row r="172" spans="2:11" x14ac:dyDescent="0.2">
      <c r="B172">
        <v>1</v>
      </c>
      <c r="C172">
        <v>251</v>
      </c>
      <c r="D172" s="308" t="s">
        <v>744</v>
      </c>
      <c r="E172" s="291">
        <v>4770</v>
      </c>
      <c r="F172" s="291">
        <v>1509</v>
      </c>
      <c r="G172" s="291">
        <v>536</v>
      </c>
      <c r="H172" s="287">
        <v>0.31635220125786201</v>
      </c>
      <c r="I172" s="211">
        <v>11.714552238806</v>
      </c>
      <c r="J172" s="211">
        <v>0.116407240628963</v>
      </c>
      <c r="K172" s="288">
        <v>555.26253780015304</v>
      </c>
    </row>
    <row r="173" spans="2:11" x14ac:dyDescent="0.2">
      <c r="B173">
        <v>1</v>
      </c>
      <c r="C173">
        <v>261</v>
      </c>
      <c r="D173" s="308" t="s">
        <v>745</v>
      </c>
      <c r="E173" s="291">
        <v>402762</v>
      </c>
      <c r="F173" s="291">
        <v>468757</v>
      </c>
      <c r="G173" s="291">
        <v>8642</v>
      </c>
      <c r="H173" s="287">
        <v>1.1638560738103401</v>
      </c>
      <c r="I173" s="211">
        <v>100.846910437399</v>
      </c>
      <c r="J173" s="211">
        <v>19.625679152283499</v>
      </c>
      <c r="K173" s="288">
        <v>7904477.7867320096</v>
      </c>
    </row>
    <row r="174" spans="2:11" x14ac:dyDescent="0.2">
      <c r="B174">
        <v>1</v>
      </c>
      <c r="C174">
        <v>296</v>
      </c>
      <c r="D174" s="308" t="s">
        <v>746</v>
      </c>
      <c r="E174" s="291">
        <v>16796</v>
      </c>
      <c r="F174" s="291">
        <v>7240</v>
      </c>
      <c r="G174" s="291">
        <v>3248</v>
      </c>
      <c r="H174" s="287">
        <v>0.43105501309835698</v>
      </c>
      <c r="I174" s="211">
        <v>7.4002463054187197</v>
      </c>
      <c r="J174" s="211">
        <v>0.56064159907282995</v>
      </c>
      <c r="K174" s="288">
        <v>9416.5362980272494</v>
      </c>
    </row>
    <row r="175" spans="2:11" x14ac:dyDescent="0.2">
      <c r="B175">
        <v>1</v>
      </c>
      <c r="C175">
        <v>297</v>
      </c>
      <c r="D175" s="308" t="s">
        <v>747</v>
      </c>
      <c r="E175" s="291">
        <v>4909</v>
      </c>
      <c r="F175" s="291">
        <v>1832</v>
      </c>
      <c r="G175" s="291">
        <v>2915</v>
      </c>
      <c r="H175" s="287">
        <v>0.37319209614992899</v>
      </c>
      <c r="I175" s="211">
        <v>2.3125214408233301</v>
      </c>
      <c r="J175" s="211">
        <v>-0.15088269894031001</v>
      </c>
      <c r="K175" s="288">
        <v>-740.68316909798102</v>
      </c>
    </row>
    <row r="176" spans="2:11" x14ac:dyDescent="0.2">
      <c r="B176">
        <v>1</v>
      </c>
      <c r="C176">
        <v>298</v>
      </c>
      <c r="D176" s="308" t="s">
        <v>748</v>
      </c>
      <c r="E176" s="291">
        <v>6296</v>
      </c>
      <c r="F176" s="291">
        <v>1363</v>
      </c>
      <c r="G176" s="291">
        <v>1910</v>
      </c>
      <c r="H176" s="287">
        <v>0.21648665819568</v>
      </c>
      <c r="I176" s="211">
        <v>4.0099476439790598</v>
      </c>
      <c r="J176" s="211">
        <v>-0.23013898336456401</v>
      </c>
      <c r="K176" s="288">
        <v>-1448.95503926329</v>
      </c>
    </row>
    <row r="177" spans="2:11" x14ac:dyDescent="0.2">
      <c r="B177">
        <v>2</v>
      </c>
      <c r="C177">
        <v>301</v>
      </c>
      <c r="D177" s="308" t="s">
        <v>749</v>
      </c>
      <c r="E177" s="291">
        <v>4527</v>
      </c>
      <c r="F177" s="291">
        <v>2785</v>
      </c>
      <c r="G177" s="291">
        <v>774</v>
      </c>
      <c r="H177" s="287">
        <v>0.61519770267285201</v>
      </c>
      <c r="I177" s="211">
        <v>9.4470284237726094</v>
      </c>
      <c r="J177" s="211">
        <v>0.39470990101860898</v>
      </c>
      <c r="K177" s="288">
        <v>1786.85172191124</v>
      </c>
    </row>
    <row r="178" spans="2:11" x14ac:dyDescent="0.2">
      <c r="B178">
        <v>2</v>
      </c>
      <c r="C178">
        <v>302</v>
      </c>
      <c r="D178" s="308" t="s">
        <v>750</v>
      </c>
      <c r="E178" s="291">
        <v>1004</v>
      </c>
      <c r="F178" s="291">
        <v>379</v>
      </c>
      <c r="G178" s="291">
        <v>760</v>
      </c>
      <c r="H178" s="287">
        <v>0.377490039840637</v>
      </c>
      <c r="I178" s="211">
        <v>1.81973684210526</v>
      </c>
      <c r="J178" s="211">
        <v>-0.312744166434199</v>
      </c>
      <c r="K178" s="288">
        <v>-313.995143099936</v>
      </c>
    </row>
    <row r="179" spans="2:11" x14ac:dyDescent="0.2">
      <c r="B179">
        <v>2</v>
      </c>
      <c r="C179">
        <v>303</v>
      </c>
      <c r="D179" s="308" t="s">
        <v>751</v>
      </c>
      <c r="E179" s="291">
        <v>3005</v>
      </c>
      <c r="F179" s="291">
        <v>686</v>
      </c>
      <c r="G179" s="291">
        <v>1500</v>
      </c>
      <c r="H179" s="287">
        <v>0.22828618968386</v>
      </c>
      <c r="I179" s="211">
        <v>2.4606666666666701</v>
      </c>
      <c r="J179" s="211">
        <v>-0.39779062428858197</v>
      </c>
      <c r="K179" s="288">
        <v>-1195.3608259871901</v>
      </c>
    </row>
    <row r="180" spans="2:11" x14ac:dyDescent="0.2">
      <c r="B180">
        <v>2</v>
      </c>
      <c r="C180">
        <v>304</v>
      </c>
      <c r="D180" s="308" t="s">
        <v>752</v>
      </c>
      <c r="E180" s="291">
        <v>1910</v>
      </c>
      <c r="F180" s="291">
        <v>897</v>
      </c>
      <c r="G180" s="291">
        <v>1470</v>
      </c>
      <c r="H180" s="287">
        <v>0.46963350785340302</v>
      </c>
      <c r="I180" s="211">
        <v>1.9095238095238101</v>
      </c>
      <c r="J180" s="211">
        <v>-0.16066960907869701</v>
      </c>
      <c r="K180" s="288">
        <v>-306.878953340311</v>
      </c>
    </row>
    <row r="181" spans="2:11" x14ac:dyDescent="0.2">
      <c r="B181">
        <v>2</v>
      </c>
      <c r="C181">
        <v>305</v>
      </c>
      <c r="D181" s="308" t="s">
        <v>753</v>
      </c>
      <c r="E181" s="291">
        <v>1475</v>
      </c>
      <c r="F181" s="291">
        <v>667</v>
      </c>
      <c r="G181" s="291">
        <v>1080</v>
      </c>
      <c r="H181" s="287">
        <v>0.45220338983050801</v>
      </c>
      <c r="I181" s="211">
        <v>1.9833333333333301</v>
      </c>
      <c r="J181" s="211">
        <v>-0.19619655011249601</v>
      </c>
      <c r="K181" s="288">
        <v>-289.38991141593198</v>
      </c>
    </row>
    <row r="182" spans="2:11" x14ac:dyDescent="0.2">
      <c r="B182">
        <v>2</v>
      </c>
      <c r="C182">
        <v>306</v>
      </c>
      <c r="D182" s="308" t="s">
        <v>754</v>
      </c>
      <c r="E182" s="291">
        <v>14706</v>
      </c>
      <c r="F182" s="291">
        <v>8068</v>
      </c>
      <c r="G182" s="291">
        <v>1476</v>
      </c>
      <c r="H182" s="287">
        <v>0.54861961104311197</v>
      </c>
      <c r="I182" s="211">
        <v>15.429539295393001</v>
      </c>
      <c r="J182" s="211">
        <v>0.91941603902559099</v>
      </c>
      <c r="K182" s="288">
        <v>13520.9322699103</v>
      </c>
    </row>
    <row r="183" spans="2:11" x14ac:dyDescent="0.2">
      <c r="B183">
        <v>2</v>
      </c>
      <c r="C183">
        <v>307</v>
      </c>
      <c r="D183" s="308" t="s">
        <v>755</v>
      </c>
      <c r="E183" s="291">
        <v>2465</v>
      </c>
      <c r="F183" s="291">
        <v>493</v>
      </c>
      <c r="G183" s="291">
        <v>1024</v>
      </c>
      <c r="H183" s="287">
        <v>0.2</v>
      </c>
      <c r="I183" s="211">
        <v>2.888671875</v>
      </c>
      <c r="J183" s="211">
        <v>-0.43785911245964398</v>
      </c>
      <c r="K183" s="288">
        <v>-1079.3227122130199</v>
      </c>
    </row>
    <row r="184" spans="2:11" x14ac:dyDescent="0.2">
      <c r="B184">
        <v>2</v>
      </c>
      <c r="C184">
        <v>309</v>
      </c>
      <c r="D184" s="308" t="s">
        <v>756</v>
      </c>
      <c r="E184" s="291">
        <v>1240</v>
      </c>
      <c r="F184" s="291">
        <v>262</v>
      </c>
      <c r="G184" s="291">
        <v>1403</v>
      </c>
      <c r="H184" s="287">
        <v>0.21129032258064501</v>
      </c>
      <c r="I184" s="211">
        <v>1.07056307911618</v>
      </c>
      <c r="J184" s="211">
        <v>-0.53700922073711499</v>
      </c>
      <c r="K184" s="288">
        <v>-665.89143371402304</v>
      </c>
    </row>
    <row r="185" spans="2:11" x14ac:dyDescent="0.2">
      <c r="B185">
        <v>2</v>
      </c>
      <c r="C185">
        <v>310</v>
      </c>
      <c r="D185" s="308" t="s">
        <v>757</v>
      </c>
      <c r="E185" s="291">
        <v>2608</v>
      </c>
      <c r="F185" s="291">
        <v>943</v>
      </c>
      <c r="G185" s="291">
        <v>2247</v>
      </c>
      <c r="H185" s="287">
        <v>0.36157975460122699</v>
      </c>
      <c r="I185" s="211">
        <v>1.5803293279928801</v>
      </c>
      <c r="J185" s="211">
        <v>-0.279906464520568</v>
      </c>
      <c r="K185" s="288">
        <v>-729.99605946964198</v>
      </c>
    </row>
    <row r="186" spans="2:11" x14ac:dyDescent="0.2">
      <c r="B186">
        <v>2</v>
      </c>
      <c r="C186">
        <v>311</v>
      </c>
      <c r="D186" s="308" t="s">
        <v>758</v>
      </c>
      <c r="E186" s="291">
        <v>3719</v>
      </c>
      <c r="F186" s="291">
        <v>1312</v>
      </c>
      <c r="G186" s="291">
        <v>1983</v>
      </c>
      <c r="H186" s="287">
        <v>0.35278300618445801</v>
      </c>
      <c r="I186" s="211">
        <v>2.53706505295008</v>
      </c>
      <c r="J186" s="211">
        <v>-0.21344966065107099</v>
      </c>
      <c r="K186" s="288">
        <v>-793.81928796133298</v>
      </c>
    </row>
    <row r="187" spans="2:11" x14ac:dyDescent="0.2">
      <c r="B187">
        <v>2</v>
      </c>
      <c r="C187">
        <v>312</v>
      </c>
      <c r="D187" s="308" t="s">
        <v>759</v>
      </c>
      <c r="E187" s="291">
        <v>3097</v>
      </c>
      <c r="F187" s="291">
        <v>1187</v>
      </c>
      <c r="G187" s="291">
        <v>2082</v>
      </c>
      <c r="H187" s="287">
        <v>0.38327413626089801</v>
      </c>
      <c r="I187" s="211">
        <v>2.0576368876080702</v>
      </c>
      <c r="J187" s="211">
        <v>-0.21692447005420701</v>
      </c>
      <c r="K187" s="288">
        <v>-671.81508375787803</v>
      </c>
    </row>
    <row r="188" spans="2:11" x14ac:dyDescent="0.2">
      <c r="B188">
        <v>2</v>
      </c>
      <c r="C188">
        <v>321</v>
      </c>
      <c r="D188" s="308" t="s">
        <v>760</v>
      </c>
      <c r="E188" s="291">
        <v>4518</v>
      </c>
      <c r="F188" s="291">
        <v>1550</v>
      </c>
      <c r="G188" s="291">
        <v>956</v>
      </c>
      <c r="H188" s="287">
        <v>0.34307215582116002</v>
      </c>
      <c r="I188" s="211">
        <v>6.3472803347280298</v>
      </c>
      <c r="J188" s="211">
        <v>-5.5937148631395997E-2</v>
      </c>
      <c r="K188" s="288">
        <v>-252.724037516647</v>
      </c>
    </row>
    <row r="189" spans="2:11" x14ac:dyDescent="0.2">
      <c r="B189">
        <v>2</v>
      </c>
      <c r="C189">
        <v>322</v>
      </c>
      <c r="D189" s="308" t="s">
        <v>761</v>
      </c>
      <c r="E189" s="291">
        <v>450</v>
      </c>
      <c r="F189" s="291">
        <v>155</v>
      </c>
      <c r="G189" s="291">
        <v>454</v>
      </c>
      <c r="H189" s="287">
        <v>0.344444444444444</v>
      </c>
      <c r="I189" s="211">
        <v>1.33259911894273</v>
      </c>
      <c r="J189" s="211">
        <v>-0.39263444905468903</v>
      </c>
      <c r="K189" s="288">
        <v>-176.68550207461001</v>
      </c>
    </row>
    <row r="190" spans="2:11" x14ac:dyDescent="0.2">
      <c r="B190">
        <v>2</v>
      </c>
      <c r="C190">
        <v>323</v>
      </c>
      <c r="D190" s="308" t="s">
        <v>762</v>
      </c>
      <c r="E190" s="291">
        <v>690</v>
      </c>
      <c r="F190" s="291">
        <v>192</v>
      </c>
      <c r="G190" s="291">
        <v>449</v>
      </c>
      <c r="H190" s="287">
        <v>0.27826086956521701</v>
      </c>
      <c r="I190" s="211">
        <v>1.96436525612472</v>
      </c>
      <c r="J190" s="211">
        <v>-0.44242637294394799</v>
      </c>
      <c r="K190" s="288">
        <v>-305.27419733132399</v>
      </c>
    </row>
    <row r="191" spans="2:11" x14ac:dyDescent="0.2">
      <c r="B191">
        <v>2</v>
      </c>
      <c r="C191">
        <v>324</v>
      </c>
      <c r="D191" s="308" t="s">
        <v>763</v>
      </c>
      <c r="E191" s="291">
        <v>695</v>
      </c>
      <c r="F191" s="291">
        <v>662</v>
      </c>
      <c r="G191" s="291">
        <v>558</v>
      </c>
      <c r="H191" s="287">
        <v>0.95251798561151102</v>
      </c>
      <c r="I191" s="211">
        <v>2.43189964157706</v>
      </c>
      <c r="J191" s="211">
        <v>0.41033800744835403</v>
      </c>
      <c r="K191" s="288">
        <v>285.18491517660601</v>
      </c>
    </row>
    <row r="192" spans="2:11" x14ac:dyDescent="0.2">
      <c r="B192">
        <v>2</v>
      </c>
      <c r="C192">
        <v>325</v>
      </c>
      <c r="D192" s="308" t="s">
        <v>764</v>
      </c>
      <c r="E192" s="291">
        <v>185</v>
      </c>
      <c r="F192" s="291">
        <v>52</v>
      </c>
      <c r="G192" s="291">
        <v>288</v>
      </c>
      <c r="H192" s="287">
        <v>0.28108108108108099</v>
      </c>
      <c r="I192" s="211">
        <v>0.82291666666666696</v>
      </c>
      <c r="J192" s="211">
        <v>-0.499873435182626</v>
      </c>
      <c r="K192" s="288">
        <v>-92.476585508785902</v>
      </c>
    </row>
    <row r="193" spans="2:11" x14ac:dyDescent="0.2">
      <c r="B193">
        <v>2</v>
      </c>
      <c r="C193">
        <v>326</v>
      </c>
      <c r="D193" s="308" t="s">
        <v>765</v>
      </c>
      <c r="E193" s="291">
        <v>733</v>
      </c>
      <c r="F193" s="291">
        <v>246</v>
      </c>
      <c r="G193" s="291">
        <v>931</v>
      </c>
      <c r="H193" s="287">
        <v>0.33560709413369699</v>
      </c>
      <c r="I193" s="211">
        <v>1.0515574650913</v>
      </c>
      <c r="J193" s="211">
        <v>-0.40302595905997002</v>
      </c>
      <c r="K193" s="288">
        <v>-295.41802799095802</v>
      </c>
    </row>
    <row r="194" spans="2:11" x14ac:dyDescent="0.2">
      <c r="B194">
        <v>2</v>
      </c>
      <c r="C194">
        <v>329</v>
      </c>
      <c r="D194" s="308" t="s">
        <v>766</v>
      </c>
      <c r="E194" s="291">
        <v>15501</v>
      </c>
      <c r="F194" s="291">
        <v>12717</v>
      </c>
      <c r="G194" s="291">
        <v>1721</v>
      </c>
      <c r="H194" s="287">
        <v>0.82039868395587401</v>
      </c>
      <c r="I194" s="211">
        <v>16.396281231842</v>
      </c>
      <c r="J194" s="211">
        <v>1.321843228071</v>
      </c>
      <c r="K194" s="288">
        <v>20489.891878328599</v>
      </c>
    </row>
    <row r="195" spans="2:11" x14ac:dyDescent="0.2">
      <c r="B195">
        <v>2</v>
      </c>
      <c r="C195">
        <v>331</v>
      </c>
      <c r="D195" s="308" t="s">
        <v>767</v>
      </c>
      <c r="E195" s="291">
        <v>2557</v>
      </c>
      <c r="F195" s="291">
        <v>890</v>
      </c>
      <c r="G195" s="291">
        <v>619</v>
      </c>
      <c r="H195" s="287">
        <v>0.34806413766132199</v>
      </c>
      <c r="I195" s="211">
        <v>5.5686591276252004</v>
      </c>
      <c r="J195" s="211">
        <v>-0.15308818731605001</v>
      </c>
      <c r="K195" s="288">
        <v>-391.44649496713998</v>
      </c>
    </row>
    <row r="196" spans="2:11" x14ac:dyDescent="0.2">
      <c r="B196">
        <v>2</v>
      </c>
      <c r="C196">
        <v>332</v>
      </c>
      <c r="D196" s="308" t="s">
        <v>768</v>
      </c>
      <c r="E196" s="291">
        <v>3239</v>
      </c>
      <c r="F196" s="291">
        <v>1266</v>
      </c>
      <c r="G196" s="291">
        <v>2310</v>
      </c>
      <c r="H196" s="287">
        <v>0.3908613769682</v>
      </c>
      <c r="I196" s="211">
        <v>1.9502164502164501</v>
      </c>
      <c r="J196" s="211">
        <v>-0.20601614533004001</v>
      </c>
      <c r="K196" s="288">
        <v>-667.28629472399803</v>
      </c>
    </row>
    <row r="197" spans="2:11" x14ac:dyDescent="0.2">
      <c r="B197">
        <v>2</v>
      </c>
      <c r="C197">
        <v>333</v>
      </c>
      <c r="D197" s="308" t="s">
        <v>769</v>
      </c>
      <c r="E197" s="291">
        <v>1531</v>
      </c>
      <c r="F197" s="291">
        <v>735</v>
      </c>
      <c r="G197" s="291">
        <v>1035</v>
      </c>
      <c r="H197" s="287">
        <v>0.48007838014369703</v>
      </c>
      <c r="I197" s="211">
        <v>2.1893719806763299</v>
      </c>
      <c r="J197" s="211">
        <v>-0.15199776899998799</v>
      </c>
      <c r="K197" s="288">
        <v>-232.70858433898101</v>
      </c>
    </row>
    <row r="198" spans="2:11" x14ac:dyDescent="0.2">
      <c r="B198">
        <v>2</v>
      </c>
      <c r="C198">
        <v>334</v>
      </c>
      <c r="D198" s="308" t="s">
        <v>770</v>
      </c>
      <c r="E198" s="291">
        <v>414</v>
      </c>
      <c r="F198" s="291">
        <v>89</v>
      </c>
      <c r="G198" s="291">
        <v>390</v>
      </c>
      <c r="H198" s="287">
        <v>0.214975845410628</v>
      </c>
      <c r="I198" s="211">
        <v>1.28974358974359</v>
      </c>
      <c r="J198" s="211">
        <v>-0.55600642904416897</v>
      </c>
      <c r="K198" s="288">
        <v>-230.18666162428599</v>
      </c>
    </row>
    <row r="199" spans="2:11" x14ac:dyDescent="0.2">
      <c r="B199">
        <v>2</v>
      </c>
      <c r="C199">
        <v>335</v>
      </c>
      <c r="D199" s="308" t="s">
        <v>771</v>
      </c>
      <c r="E199" s="291">
        <v>240</v>
      </c>
      <c r="F199" s="291">
        <v>116</v>
      </c>
      <c r="G199" s="291">
        <v>387</v>
      </c>
      <c r="H199" s="287">
        <v>0.483333333333333</v>
      </c>
      <c r="I199" s="211">
        <v>0.91989664082687295</v>
      </c>
      <c r="J199" s="211">
        <v>-0.24360984013190801</v>
      </c>
      <c r="K199" s="288">
        <v>-58.466361631657797</v>
      </c>
    </row>
    <row r="200" spans="2:11" x14ac:dyDescent="0.2">
      <c r="B200">
        <v>2</v>
      </c>
      <c r="C200">
        <v>336</v>
      </c>
      <c r="D200" s="308" t="s">
        <v>772</v>
      </c>
      <c r="E200" s="291">
        <v>185</v>
      </c>
      <c r="F200" s="291">
        <v>62</v>
      </c>
      <c r="G200" s="291">
        <v>196</v>
      </c>
      <c r="H200" s="287">
        <v>0.33513513513513499</v>
      </c>
      <c r="I200" s="211">
        <v>1.2602040816326501</v>
      </c>
      <c r="J200" s="211">
        <v>-0.41693706855709101</v>
      </c>
      <c r="K200" s="288">
        <v>-77.133357683061803</v>
      </c>
    </row>
    <row r="201" spans="2:11" x14ac:dyDescent="0.2">
      <c r="B201">
        <v>2</v>
      </c>
      <c r="C201">
        <v>337</v>
      </c>
      <c r="D201" s="308" t="s">
        <v>773</v>
      </c>
      <c r="E201" s="291">
        <v>3996</v>
      </c>
      <c r="F201" s="291">
        <v>1383</v>
      </c>
      <c r="G201" s="291">
        <v>776</v>
      </c>
      <c r="H201" s="287">
        <v>0.34609609609609598</v>
      </c>
      <c r="I201" s="211">
        <v>6.9317010309278304</v>
      </c>
      <c r="J201" s="211">
        <v>-5.0812624753800197E-2</v>
      </c>
      <c r="K201" s="288">
        <v>-203.04724851618599</v>
      </c>
    </row>
    <row r="202" spans="2:11" x14ac:dyDescent="0.2">
      <c r="B202">
        <v>2</v>
      </c>
      <c r="C202">
        <v>338</v>
      </c>
      <c r="D202" s="308" t="s">
        <v>774</v>
      </c>
      <c r="E202" s="291">
        <v>1436</v>
      </c>
      <c r="F202" s="291">
        <v>499</v>
      </c>
      <c r="G202" s="291">
        <v>404</v>
      </c>
      <c r="H202" s="287">
        <v>0.34749303621169902</v>
      </c>
      <c r="I202" s="211">
        <v>4.7896039603960396</v>
      </c>
      <c r="J202" s="211">
        <v>-0.22505267811448401</v>
      </c>
      <c r="K202" s="288">
        <v>-323.17564577239801</v>
      </c>
    </row>
    <row r="203" spans="2:11" x14ac:dyDescent="0.2">
      <c r="B203">
        <v>2</v>
      </c>
      <c r="C203">
        <v>339</v>
      </c>
      <c r="D203" s="308" t="s">
        <v>775</v>
      </c>
      <c r="E203" s="291">
        <v>397</v>
      </c>
      <c r="F203" s="291">
        <v>145</v>
      </c>
      <c r="G203" s="291">
        <v>645</v>
      </c>
      <c r="H203" s="287">
        <v>0.36523929471032701</v>
      </c>
      <c r="I203" s="211">
        <v>0.84031007751938003</v>
      </c>
      <c r="J203" s="211">
        <v>-0.38685258432479902</v>
      </c>
      <c r="K203" s="288">
        <v>-153.580475976945</v>
      </c>
    </row>
    <row r="204" spans="2:11" x14ac:dyDescent="0.2">
      <c r="B204">
        <v>2</v>
      </c>
      <c r="C204">
        <v>340</v>
      </c>
      <c r="D204" s="308" t="s">
        <v>776</v>
      </c>
      <c r="E204" s="291">
        <v>568</v>
      </c>
      <c r="F204" s="291">
        <v>83</v>
      </c>
      <c r="G204" s="291">
        <v>401</v>
      </c>
      <c r="H204" s="287">
        <v>0.14612676056338</v>
      </c>
      <c r="I204" s="211">
        <v>1.62344139650873</v>
      </c>
      <c r="J204" s="211">
        <v>-0.62326245567392002</v>
      </c>
      <c r="K204" s="288">
        <v>-354.013074822786</v>
      </c>
    </row>
    <row r="205" spans="2:11" x14ac:dyDescent="0.2">
      <c r="B205">
        <v>2</v>
      </c>
      <c r="C205">
        <v>341</v>
      </c>
      <c r="D205" s="308" t="s">
        <v>777</v>
      </c>
      <c r="E205" s="291">
        <v>506</v>
      </c>
      <c r="F205" s="291">
        <v>98</v>
      </c>
      <c r="G205" s="291">
        <v>365</v>
      </c>
      <c r="H205" s="287">
        <v>0.19367588932806301</v>
      </c>
      <c r="I205" s="211">
        <v>1.65479452054795</v>
      </c>
      <c r="J205" s="211">
        <v>-0.56556634196146105</v>
      </c>
      <c r="K205" s="288">
        <v>-286.17656903250003</v>
      </c>
    </row>
    <row r="206" spans="2:11" x14ac:dyDescent="0.2">
      <c r="B206">
        <v>2</v>
      </c>
      <c r="C206">
        <v>342</v>
      </c>
      <c r="D206" s="308" t="s">
        <v>778</v>
      </c>
      <c r="E206" s="291">
        <v>3338</v>
      </c>
      <c r="F206" s="291">
        <v>1563</v>
      </c>
      <c r="G206" s="291">
        <v>964</v>
      </c>
      <c r="H206" s="287">
        <v>0.46824445775913698</v>
      </c>
      <c r="I206" s="211">
        <v>5.0840248962655599</v>
      </c>
      <c r="J206" s="211">
        <v>7.9945734343797904E-3</v>
      </c>
      <c r="K206" s="288">
        <v>26.685886123959701</v>
      </c>
    </row>
    <row r="207" spans="2:11" x14ac:dyDescent="0.2">
      <c r="B207">
        <v>2</v>
      </c>
      <c r="C207">
        <v>344</v>
      </c>
      <c r="D207" s="308" t="s">
        <v>779</v>
      </c>
      <c r="E207" s="291">
        <v>903</v>
      </c>
      <c r="F207" s="291">
        <v>420</v>
      </c>
      <c r="G207" s="291">
        <v>915</v>
      </c>
      <c r="H207" s="287">
        <v>0.46511627906976699</v>
      </c>
      <c r="I207" s="211">
        <v>1.4459016393442601</v>
      </c>
      <c r="J207" s="211">
        <v>-0.22165948248932599</v>
      </c>
      <c r="K207" s="288">
        <v>-200.15851268786099</v>
      </c>
    </row>
    <row r="208" spans="2:11" x14ac:dyDescent="0.2">
      <c r="B208">
        <v>2</v>
      </c>
      <c r="C208">
        <v>345</v>
      </c>
      <c r="D208" s="308" t="s">
        <v>780</v>
      </c>
      <c r="E208" s="291">
        <v>1637</v>
      </c>
      <c r="F208" s="291">
        <v>483</v>
      </c>
      <c r="G208" s="291">
        <v>485</v>
      </c>
      <c r="H208" s="287">
        <v>0.29505192425167998</v>
      </c>
      <c r="I208" s="211">
        <v>4.3711340206185598</v>
      </c>
      <c r="J208" s="211">
        <v>-0.29762368192372302</v>
      </c>
      <c r="K208" s="288">
        <v>-487.20996730913498</v>
      </c>
    </row>
    <row r="209" spans="2:11" x14ac:dyDescent="0.2">
      <c r="B209">
        <v>2</v>
      </c>
      <c r="C209">
        <v>351</v>
      </c>
      <c r="D209" s="308" t="s">
        <v>781</v>
      </c>
      <c r="E209" s="291">
        <v>133115</v>
      </c>
      <c r="F209" s="291">
        <v>186027</v>
      </c>
      <c r="G209" s="291">
        <v>5039</v>
      </c>
      <c r="H209" s="287">
        <v>1.3974908913345601</v>
      </c>
      <c r="I209" s="211">
        <v>63.334391744393699</v>
      </c>
      <c r="J209" s="211">
        <v>8.2434703060563095</v>
      </c>
      <c r="K209" s="288">
        <v>1097329.54979069</v>
      </c>
    </row>
    <row r="210" spans="2:11" x14ac:dyDescent="0.2">
      <c r="B210">
        <v>2</v>
      </c>
      <c r="C210">
        <v>352</v>
      </c>
      <c r="D210" s="308" t="s">
        <v>782</v>
      </c>
      <c r="E210" s="291">
        <v>6250</v>
      </c>
      <c r="F210" s="291">
        <v>1751</v>
      </c>
      <c r="G210" s="291">
        <v>1654</v>
      </c>
      <c r="H210" s="287">
        <v>0.28016000000000002</v>
      </c>
      <c r="I210" s="211">
        <v>4.8373639661426804</v>
      </c>
      <c r="J210" s="211">
        <v>-0.122806442880133</v>
      </c>
      <c r="K210" s="288">
        <v>-767.54026800083204</v>
      </c>
    </row>
    <row r="211" spans="2:11" x14ac:dyDescent="0.2">
      <c r="B211">
        <v>2</v>
      </c>
      <c r="C211">
        <v>353</v>
      </c>
      <c r="D211" s="308" t="s">
        <v>783</v>
      </c>
      <c r="E211" s="291">
        <v>4386</v>
      </c>
      <c r="F211" s="291">
        <v>646</v>
      </c>
      <c r="G211" s="291">
        <v>177</v>
      </c>
      <c r="H211" s="287">
        <v>0.14728682170542601</v>
      </c>
      <c r="I211" s="211">
        <v>28.4293785310734</v>
      </c>
      <c r="J211" s="211">
        <v>0.50207890161056901</v>
      </c>
      <c r="K211" s="288">
        <v>2202.1180624639601</v>
      </c>
    </row>
    <row r="212" spans="2:11" x14ac:dyDescent="0.2">
      <c r="B212">
        <v>2</v>
      </c>
      <c r="C212">
        <v>354</v>
      </c>
      <c r="D212" s="308" t="s">
        <v>784</v>
      </c>
      <c r="E212" s="291">
        <v>3029</v>
      </c>
      <c r="F212" s="291">
        <v>839</v>
      </c>
      <c r="G212" s="291">
        <v>1180</v>
      </c>
      <c r="H212" s="287">
        <v>0.27698910531528598</v>
      </c>
      <c r="I212" s="211">
        <v>3.2779661016949202</v>
      </c>
      <c r="J212" s="211">
        <v>-0.306703353043139</v>
      </c>
      <c r="K212" s="288">
        <v>-929.00445636766904</v>
      </c>
    </row>
    <row r="213" spans="2:11" x14ac:dyDescent="0.2">
      <c r="B213">
        <v>2</v>
      </c>
      <c r="C213">
        <v>355</v>
      </c>
      <c r="D213" s="308" t="s">
        <v>785</v>
      </c>
      <c r="E213" s="291">
        <v>40938</v>
      </c>
      <c r="F213" s="291">
        <v>22449</v>
      </c>
      <c r="G213" s="291">
        <v>5088</v>
      </c>
      <c r="H213" s="287">
        <v>0.54836582148614998</v>
      </c>
      <c r="I213" s="211">
        <v>12.4581367924528</v>
      </c>
      <c r="J213" s="211">
        <v>1.8130001282593</v>
      </c>
      <c r="K213" s="288">
        <v>74220.599250679195</v>
      </c>
    </row>
    <row r="214" spans="2:11" x14ac:dyDescent="0.2">
      <c r="B214">
        <v>2</v>
      </c>
      <c r="C214">
        <v>356</v>
      </c>
      <c r="D214" s="308" t="s">
        <v>786</v>
      </c>
      <c r="E214" s="291">
        <v>13037</v>
      </c>
      <c r="F214" s="291">
        <v>9906</v>
      </c>
      <c r="G214" s="291">
        <v>741</v>
      </c>
      <c r="H214" s="287">
        <v>0.75983738590166405</v>
      </c>
      <c r="I214" s="211">
        <v>30.962213225371102</v>
      </c>
      <c r="J214" s="211">
        <v>1.6840907124942299</v>
      </c>
      <c r="K214" s="288">
        <v>21955.4906187872</v>
      </c>
    </row>
    <row r="215" spans="2:11" x14ac:dyDescent="0.2">
      <c r="B215">
        <v>2</v>
      </c>
      <c r="C215">
        <v>357</v>
      </c>
      <c r="D215" s="308" t="s">
        <v>787</v>
      </c>
      <c r="E215" s="291">
        <v>874</v>
      </c>
      <c r="F215" s="291">
        <v>304</v>
      </c>
      <c r="G215" s="291">
        <v>1230</v>
      </c>
      <c r="H215" s="287">
        <v>0.34782608695652201</v>
      </c>
      <c r="I215" s="211">
        <v>0.95772357723577195</v>
      </c>
      <c r="J215" s="211">
        <v>-0.38592063459926501</v>
      </c>
      <c r="K215" s="288">
        <v>-337.29463463975799</v>
      </c>
    </row>
    <row r="216" spans="2:11" x14ac:dyDescent="0.2">
      <c r="B216">
        <v>2</v>
      </c>
      <c r="C216">
        <v>358</v>
      </c>
      <c r="D216" s="308" t="s">
        <v>788</v>
      </c>
      <c r="E216" s="291">
        <v>3141</v>
      </c>
      <c r="F216" s="291">
        <v>628</v>
      </c>
      <c r="G216" s="291">
        <v>347</v>
      </c>
      <c r="H216" s="287">
        <v>0.19993632601082501</v>
      </c>
      <c r="I216" s="211">
        <v>10.8616714697406</v>
      </c>
      <c r="J216" s="211">
        <v>-0.121211893389914</v>
      </c>
      <c r="K216" s="288">
        <v>-380.72655713772002</v>
      </c>
    </row>
    <row r="217" spans="2:11" x14ac:dyDescent="0.2">
      <c r="B217">
        <v>2</v>
      </c>
      <c r="C217">
        <v>359</v>
      </c>
      <c r="D217" s="308" t="s">
        <v>789</v>
      </c>
      <c r="E217" s="291">
        <v>5240</v>
      </c>
      <c r="F217" s="291">
        <v>1351</v>
      </c>
      <c r="G217" s="291">
        <v>2480</v>
      </c>
      <c r="H217" s="287">
        <v>0.257824427480916</v>
      </c>
      <c r="I217" s="211">
        <v>2.6576612903225798</v>
      </c>
      <c r="J217" s="211">
        <v>-0.268602345533973</v>
      </c>
      <c r="K217" s="288">
        <v>-1407.4762905980199</v>
      </c>
    </row>
    <row r="218" spans="2:11" x14ac:dyDescent="0.2">
      <c r="B218">
        <v>2</v>
      </c>
      <c r="C218">
        <v>360</v>
      </c>
      <c r="D218" s="308" t="s">
        <v>790</v>
      </c>
      <c r="E218" s="291">
        <v>9136</v>
      </c>
      <c r="F218" s="291">
        <v>1898</v>
      </c>
      <c r="G218" s="291">
        <v>3462</v>
      </c>
      <c r="H218" s="287">
        <v>0.20774956217162899</v>
      </c>
      <c r="I218" s="211">
        <v>3.1871750433275601</v>
      </c>
      <c r="J218" s="211">
        <v>-0.16246981268360899</v>
      </c>
      <c r="K218" s="288">
        <v>-1484.3242086774501</v>
      </c>
    </row>
    <row r="219" spans="2:11" x14ac:dyDescent="0.2">
      <c r="B219">
        <v>2</v>
      </c>
      <c r="C219">
        <v>361</v>
      </c>
      <c r="D219" s="308" t="s">
        <v>791</v>
      </c>
      <c r="E219" s="291">
        <v>10235</v>
      </c>
      <c r="F219" s="291">
        <v>7344</v>
      </c>
      <c r="G219" s="291">
        <v>532</v>
      </c>
      <c r="H219" s="287">
        <v>0.71753786028334099</v>
      </c>
      <c r="I219" s="211">
        <v>33.043233082706799</v>
      </c>
      <c r="J219" s="211">
        <v>1.6005381582250899</v>
      </c>
      <c r="K219" s="288">
        <v>16381.5080494338</v>
      </c>
    </row>
    <row r="220" spans="2:11" x14ac:dyDescent="0.2">
      <c r="B220">
        <v>2</v>
      </c>
      <c r="C220">
        <v>362</v>
      </c>
      <c r="D220" s="308" t="s">
        <v>792</v>
      </c>
      <c r="E220" s="291">
        <v>11388</v>
      </c>
      <c r="F220" s="291">
        <v>12434</v>
      </c>
      <c r="G220" s="291">
        <v>417</v>
      </c>
      <c r="H220" s="287">
        <v>1.09185107130313</v>
      </c>
      <c r="I220" s="211">
        <v>57.127098321342899</v>
      </c>
      <c r="J220" s="211">
        <v>2.98713393508014</v>
      </c>
      <c r="K220" s="288">
        <v>34017.481252692603</v>
      </c>
    </row>
    <row r="221" spans="2:11" x14ac:dyDescent="0.2">
      <c r="B221">
        <v>2</v>
      </c>
      <c r="C221">
        <v>363</v>
      </c>
      <c r="D221" s="308" t="s">
        <v>793</v>
      </c>
      <c r="E221" s="291">
        <v>17127</v>
      </c>
      <c r="F221" s="291">
        <v>7037</v>
      </c>
      <c r="G221" s="291">
        <v>597</v>
      </c>
      <c r="H221" s="287">
        <v>0.410871723010451</v>
      </c>
      <c r="I221" s="211">
        <v>40.4757118927973</v>
      </c>
      <c r="J221" s="211">
        <v>1.7550436478857101</v>
      </c>
      <c r="K221" s="288">
        <v>30058.6325573385</v>
      </c>
    </row>
    <row r="222" spans="2:11" x14ac:dyDescent="0.2">
      <c r="B222">
        <v>2</v>
      </c>
      <c r="C222">
        <v>371</v>
      </c>
      <c r="D222" s="308" t="s">
        <v>794</v>
      </c>
      <c r="E222" s="291">
        <v>54456</v>
      </c>
      <c r="F222" s="291">
        <v>39439</v>
      </c>
      <c r="G222" s="291">
        <v>2097</v>
      </c>
      <c r="H222" s="287">
        <v>0.72423608050536203</v>
      </c>
      <c r="I222" s="211">
        <v>44.775870290891802</v>
      </c>
      <c r="J222" s="211">
        <v>3.7265669705411701</v>
      </c>
      <c r="K222" s="288">
        <v>202933.93094779001</v>
      </c>
    </row>
    <row r="223" spans="2:11" x14ac:dyDescent="0.2">
      <c r="B223">
        <v>2</v>
      </c>
      <c r="C223">
        <v>372</v>
      </c>
      <c r="D223" s="308" t="s">
        <v>795</v>
      </c>
      <c r="E223" s="291">
        <v>2601</v>
      </c>
      <c r="F223" s="291">
        <v>346</v>
      </c>
      <c r="G223" s="291">
        <v>367</v>
      </c>
      <c r="H223" s="287">
        <v>0.13302575932333699</v>
      </c>
      <c r="I223" s="211">
        <v>8.0299727520435997</v>
      </c>
      <c r="J223" s="211">
        <v>-0.32807328897523003</v>
      </c>
      <c r="K223" s="288">
        <v>-853.31862462457298</v>
      </c>
    </row>
    <row r="224" spans="2:11" x14ac:dyDescent="0.2">
      <c r="B224">
        <v>2</v>
      </c>
      <c r="C224">
        <v>381</v>
      </c>
      <c r="D224" s="308" t="s">
        <v>796</v>
      </c>
      <c r="E224" s="291">
        <v>1540</v>
      </c>
      <c r="F224" s="291">
        <v>600</v>
      </c>
      <c r="G224" s="291">
        <v>607</v>
      </c>
      <c r="H224" s="287">
        <v>0.38961038961039002</v>
      </c>
      <c r="I224" s="211">
        <v>3.52553542009885</v>
      </c>
      <c r="J224" s="211">
        <v>-0.215008378022743</v>
      </c>
      <c r="K224" s="288">
        <v>-331.11290215502402</v>
      </c>
    </row>
    <row r="225" spans="2:11" x14ac:dyDescent="0.2">
      <c r="B225">
        <v>2</v>
      </c>
      <c r="C225">
        <v>382</v>
      </c>
      <c r="D225" s="308" t="s">
        <v>797</v>
      </c>
      <c r="E225" s="291">
        <v>859</v>
      </c>
      <c r="F225" s="291">
        <v>122</v>
      </c>
      <c r="G225" s="291">
        <v>357</v>
      </c>
      <c r="H225" s="287">
        <v>0.14202561117578599</v>
      </c>
      <c r="I225" s="211">
        <v>2.74789915966387</v>
      </c>
      <c r="J225" s="211">
        <v>-0.57619942596742502</v>
      </c>
      <c r="K225" s="288">
        <v>-494.955306906018</v>
      </c>
    </row>
    <row r="226" spans="2:11" x14ac:dyDescent="0.2">
      <c r="B226">
        <v>2</v>
      </c>
      <c r="C226">
        <v>383</v>
      </c>
      <c r="D226" s="308" t="s">
        <v>798</v>
      </c>
      <c r="E226" s="291">
        <v>3596</v>
      </c>
      <c r="F226" s="291">
        <v>1960</v>
      </c>
      <c r="G226" s="291">
        <v>1166</v>
      </c>
      <c r="H226" s="287">
        <v>0.54505005561735298</v>
      </c>
      <c r="I226" s="211">
        <v>4.7650085763293299</v>
      </c>
      <c r="J226" s="211">
        <v>0.101387984221115</v>
      </c>
      <c r="K226" s="288">
        <v>364.591191259129</v>
      </c>
    </row>
    <row r="227" spans="2:11" x14ac:dyDescent="0.2">
      <c r="B227">
        <v>2</v>
      </c>
      <c r="C227">
        <v>385</v>
      </c>
      <c r="D227" s="308" t="s">
        <v>799</v>
      </c>
      <c r="E227" s="291">
        <v>992</v>
      </c>
      <c r="F227" s="291">
        <v>266</v>
      </c>
      <c r="G227" s="291">
        <v>631</v>
      </c>
      <c r="H227" s="287">
        <v>0.26814516129032301</v>
      </c>
      <c r="I227" s="211">
        <v>1.9936608557844699</v>
      </c>
      <c r="J227" s="211">
        <v>-0.44235328024785597</v>
      </c>
      <c r="K227" s="288">
        <v>-438.81445400587302</v>
      </c>
    </row>
    <row r="228" spans="2:11" x14ac:dyDescent="0.2">
      <c r="B228">
        <v>2</v>
      </c>
      <c r="C228">
        <v>386</v>
      </c>
      <c r="D228" s="308" t="s">
        <v>800</v>
      </c>
      <c r="E228" s="291">
        <v>1501</v>
      </c>
      <c r="F228" s="291">
        <v>766</v>
      </c>
      <c r="G228" s="291">
        <v>408</v>
      </c>
      <c r="H228" s="287">
        <v>0.51032644903397695</v>
      </c>
      <c r="I228" s="211">
        <v>5.5563725490196099</v>
      </c>
      <c r="J228" s="211">
        <v>7.1839735447293204E-3</v>
      </c>
      <c r="K228" s="288">
        <v>10.783144290638701</v>
      </c>
    </row>
    <row r="229" spans="2:11" x14ac:dyDescent="0.2">
      <c r="B229">
        <v>2</v>
      </c>
      <c r="C229">
        <v>387</v>
      </c>
      <c r="D229" s="308" t="s">
        <v>801</v>
      </c>
      <c r="E229" s="291">
        <v>5071</v>
      </c>
      <c r="F229" s="291">
        <v>1707</v>
      </c>
      <c r="G229" s="291">
        <v>733</v>
      </c>
      <c r="H229" s="287">
        <v>0.33661999605600501</v>
      </c>
      <c r="I229" s="211">
        <v>9.24693042291951</v>
      </c>
      <c r="J229" s="211">
        <v>6.2991729209274594E-2</v>
      </c>
      <c r="K229" s="288">
        <v>319.43105882023201</v>
      </c>
    </row>
    <row r="230" spans="2:11" x14ac:dyDescent="0.2">
      <c r="B230">
        <v>2</v>
      </c>
      <c r="C230">
        <v>388</v>
      </c>
      <c r="D230" s="308" t="s">
        <v>802</v>
      </c>
      <c r="E230" s="291">
        <v>1250</v>
      </c>
      <c r="F230" s="291">
        <v>285</v>
      </c>
      <c r="G230" s="291">
        <v>993</v>
      </c>
      <c r="H230" s="287">
        <v>0.22800000000000001</v>
      </c>
      <c r="I230" s="211">
        <v>1.54582074521652</v>
      </c>
      <c r="J230" s="211">
        <v>-0.498581219733574</v>
      </c>
      <c r="K230" s="288">
        <v>-623.22652466696695</v>
      </c>
    </row>
    <row r="231" spans="2:11" x14ac:dyDescent="0.2">
      <c r="B231">
        <v>2</v>
      </c>
      <c r="C231">
        <v>389</v>
      </c>
      <c r="D231" s="308" t="s">
        <v>803</v>
      </c>
      <c r="E231" s="291">
        <v>53</v>
      </c>
      <c r="F231" s="291">
        <v>15</v>
      </c>
      <c r="G231" s="291">
        <v>58</v>
      </c>
      <c r="H231" s="287">
        <v>0.28301886792452802</v>
      </c>
      <c r="I231" s="211">
        <v>1.17241379310345</v>
      </c>
      <c r="J231" s="211">
        <v>-0.48976437506281301</v>
      </c>
      <c r="K231" s="288">
        <v>-25.9575118783291</v>
      </c>
    </row>
    <row r="232" spans="2:11" x14ac:dyDescent="0.2">
      <c r="B232">
        <v>2</v>
      </c>
      <c r="C232">
        <v>390</v>
      </c>
      <c r="D232" s="308" t="s">
        <v>804</v>
      </c>
      <c r="E232" s="291">
        <v>1311</v>
      </c>
      <c r="F232" s="291">
        <v>227</v>
      </c>
      <c r="G232" s="291">
        <v>412</v>
      </c>
      <c r="H232" s="287">
        <v>0.17315026697177699</v>
      </c>
      <c r="I232" s="211">
        <v>3.73300970873786</v>
      </c>
      <c r="J232" s="211">
        <v>-0.48441822836218101</v>
      </c>
      <c r="K232" s="288">
        <v>-635.07229738281899</v>
      </c>
    </row>
    <row r="233" spans="2:11" x14ac:dyDescent="0.2">
      <c r="B233">
        <v>2</v>
      </c>
      <c r="C233">
        <v>391</v>
      </c>
      <c r="D233" s="308" t="s">
        <v>805</v>
      </c>
      <c r="E233" s="291">
        <v>832</v>
      </c>
      <c r="F233" s="291">
        <v>211</v>
      </c>
      <c r="G233" s="291">
        <v>675</v>
      </c>
      <c r="H233" s="287">
        <v>0.253605769230769</v>
      </c>
      <c r="I233" s="211">
        <v>1.5451851851851901</v>
      </c>
      <c r="J233" s="211">
        <v>-0.48284621528441402</v>
      </c>
      <c r="K233" s="288">
        <v>-401.728051116632</v>
      </c>
    </row>
    <row r="234" spans="2:11" x14ac:dyDescent="0.2">
      <c r="B234">
        <v>2</v>
      </c>
      <c r="C234">
        <v>392</v>
      </c>
      <c r="D234" s="308" t="s">
        <v>806</v>
      </c>
      <c r="E234" s="291">
        <v>4169</v>
      </c>
      <c r="F234" s="291">
        <v>1253</v>
      </c>
      <c r="G234" s="291">
        <v>821</v>
      </c>
      <c r="H234" s="287">
        <v>0.30055169105300999</v>
      </c>
      <c r="I234" s="211">
        <v>6.6041412911083999</v>
      </c>
      <c r="J234" s="211">
        <v>-0.112590464520354</v>
      </c>
      <c r="K234" s="288">
        <v>-469.38964658535701</v>
      </c>
    </row>
    <row r="235" spans="2:11" x14ac:dyDescent="0.2">
      <c r="B235">
        <v>2</v>
      </c>
      <c r="C235">
        <v>393</v>
      </c>
      <c r="D235" s="308" t="s">
        <v>807</v>
      </c>
      <c r="E235" s="291">
        <v>848</v>
      </c>
      <c r="F235" s="291">
        <v>551</v>
      </c>
      <c r="G235" s="291">
        <v>629</v>
      </c>
      <c r="H235" s="287">
        <v>0.64976415094339601</v>
      </c>
      <c r="I235" s="211">
        <v>2.2241653418123999</v>
      </c>
      <c r="J235" s="211">
        <v>3.3443129994602798E-2</v>
      </c>
      <c r="K235" s="288">
        <v>28.359774235423199</v>
      </c>
    </row>
    <row r="236" spans="2:11" x14ac:dyDescent="0.2">
      <c r="B236">
        <v>2</v>
      </c>
      <c r="C236">
        <v>394</v>
      </c>
      <c r="D236" s="308" t="s">
        <v>808</v>
      </c>
      <c r="E236" s="291">
        <v>592</v>
      </c>
      <c r="F236" s="291">
        <v>152</v>
      </c>
      <c r="G236" s="291">
        <v>687</v>
      </c>
      <c r="H236" s="287">
        <v>0.25675675675675702</v>
      </c>
      <c r="I236" s="211">
        <v>1.0829694323144099</v>
      </c>
      <c r="J236" s="211">
        <v>-0.50497593342722702</v>
      </c>
      <c r="K236" s="288">
        <v>-298.94575258891803</v>
      </c>
    </row>
    <row r="237" spans="2:11" x14ac:dyDescent="0.2">
      <c r="B237">
        <v>2</v>
      </c>
      <c r="C237">
        <v>401</v>
      </c>
      <c r="D237" s="308" t="s">
        <v>809</v>
      </c>
      <c r="E237" s="291">
        <v>1089</v>
      </c>
      <c r="F237" s="291">
        <v>233</v>
      </c>
      <c r="G237" s="291">
        <v>197</v>
      </c>
      <c r="H237" s="287">
        <v>0.21395775941230499</v>
      </c>
      <c r="I237" s="211">
        <v>6.7106598984771599</v>
      </c>
      <c r="J237" s="211">
        <v>-0.33369337302615498</v>
      </c>
      <c r="K237" s="288">
        <v>-363.39208322548302</v>
      </c>
    </row>
    <row r="238" spans="2:11" x14ac:dyDescent="0.2">
      <c r="B238">
        <v>2</v>
      </c>
      <c r="C238">
        <v>402</v>
      </c>
      <c r="D238" s="308" t="s">
        <v>810</v>
      </c>
      <c r="E238" s="291">
        <v>589</v>
      </c>
      <c r="F238" s="291">
        <v>119</v>
      </c>
      <c r="G238" s="291">
        <v>659</v>
      </c>
      <c r="H238" s="287">
        <v>0.20203735144312401</v>
      </c>
      <c r="I238" s="211">
        <v>1.0743550834597899</v>
      </c>
      <c r="J238" s="211">
        <v>-0.57321118343375799</v>
      </c>
      <c r="K238" s="288">
        <v>-337.62138704248298</v>
      </c>
    </row>
    <row r="239" spans="2:11" x14ac:dyDescent="0.2">
      <c r="B239">
        <v>2</v>
      </c>
      <c r="C239">
        <v>403</v>
      </c>
      <c r="D239" s="308" t="s">
        <v>811</v>
      </c>
      <c r="E239" s="291">
        <v>1054</v>
      </c>
      <c r="F239" s="291">
        <v>159</v>
      </c>
      <c r="G239" s="291">
        <v>275</v>
      </c>
      <c r="H239" s="287">
        <v>0.150853889943074</v>
      </c>
      <c r="I239" s="211">
        <v>4.4109090909090902</v>
      </c>
      <c r="J239" s="211">
        <v>-0.49713363554227102</v>
      </c>
      <c r="K239" s="288">
        <v>-523.97885186155304</v>
      </c>
    </row>
    <row r="240" spans="2:11" x14ac:dyDescent="0.2">
      <c r="B240">
        <v>2</v>
      </c>
      <c r="C240">
        <v>404</v>
      </c>
      <c r="D240" s="308" t="s">
        <v>812</v>
      </c>
      <c r="E240" s="291">
        <v>16295</v>
      </c>
      <c r="F240" s="291">
        <v>13273</v>
      </c>
      <c r="G240" s="291">
        <v>1514</v>
      </c>
      <c r="H240" s="287">
        <v>0.81454433875421905</v>
      </c>
      <c r="I240" s="211">
        <v>19.5297225891678</v>
      </c>
      <c r="J240" s="211">
        <v>1.4592513006868</v>
      </c>
      <c r="K240" s="288">
        <v>23778.499944691299</v>
      </c>
    </row>
    <row r="241" spans="2:11" x14ac:dyDescent="0.2">
      <c r="B241">
        <v>2</v>
      </c>
      <c r="C241">
        <v>405</v>
      </c>
      <c r="D241" s="308" t="s">
        <v>813</v>
      </c>
      <c r="E241" s="291">
        <v>2010</v>
      </c>
      <c r="F241" s="291">
        <v>511</v>
      </c>
      <c r="G241" s="291">
        <v>1545</v>
      </c>
      <c r="H241" s="287">
        <v>0.25422885572139298</v>
      </c>
      <c r="I241" s="211">
        <v>1.63171521035599</v>
      </c>
      <c r="J241" s="211">
        <v>-0.43390628811297099</v>
      </c>
      <c r="K241" s="288">
        <v>-872.15163910707099</v>
      </c>
    </row>
    <row r="242" spans="2:11" x14ac:dyDescent="0.2">
      <c r="B242">
        <v>2</v>
      </c>
      <c r="C242">
        <v>406</v>
      </c>
      <c r="D242" s="308" t="s">
        <v>814</v>
      </c>
      <c r="E242" s="291">
        <v>3331</v>
      </c>
      <c r="F242" s="291">
        <v>1187</v>
      </c>
      <c r="G242" s="291">
        <v>2168</v>
      </c>
      <c r="H242" s="287">
        <v>0.35634944461122797</v>
      </c>
      <c r="I242" s="211">
        <v>2.0839483394833902</v>
      </c>
      <c r="J242" s="211">
        <v>-0.240387588105231</v>
      </c>
      <c r="K242" s="288">
        <v>-800.731055978526</v>
      </c>
    </row>
    <row r="243" spans="2:11" x14ac:dyDescent="0.2">
      <c r="B243">
        <v>2</v>
      </c>
      <c r="C243">
        <v>407</v>
      </c>
      <c r="D243" s="308" t="s">
        <v>815</v>
      </c>
      <c r="E243" s="291">
        <v>1589</v>
      </c>
      <c r="F243" s="291">
        <v>512</v>
      </c>
      <c r="G243" s="291">
        <v>2324</v>
      </c>
      <c r="H243" s="287">
        <v>0.32221522970421701</v>
      </c>
      <c r="I243" s="211">
        <v>0.90404475043029298</v>
      </c>
      <c r="J243" s="211">
        <v>-0.39229540300830501</v>
      </c>
      <c r="K243" s="288">
        <v>-623.35739538019698</v>
      </c>
    </row>
    <row r="244" spans="2:11" x14ac:dyDescent="0.2">
      <c r="B244">
        <v>2</v>
      </c>
      <c r="C244">
        <v>408</v>
      </c>
      <c r="D244" s="308" t="s">
        <v>816</v>
      </c>
      <c r="E244" s="291">
        <v>206</v>
      </c>
      <c r="F244" s="291">
        <v>136</v>
      </c>
      <c r="G244" s="291">
        <v>150</v>
      </c>
      <c r="H244" s="287">
        <v>0.66019417475728204</v>
      </c>
      <c r="I244" s="211">
        <v>2.2799999999999998</v>
      </c>
      <c r="J244" s="211">
        <v>2.3874301077173098E-2</v>
      </c>
      <c r="K244" s="288">
        <v>4.9181060218976604</v>
      </c>
    </row>
    <row r="245" spans="2:11" x14ac:dyDescent="0.2">
      <c r="B245">
        <v>2</v>
      </c>
      <c r="C245">
        <v>409</v>
      </c>
      <c r="D245" s="308" t="s">
        <v>817</v>
      </c>
      <c r="E245" s="291">
        <v>2458</v>
      </c>
      <c r="F245" s="291">
        <v>945</v>
      </c>
      <c r="G245" s="291">
        <v>668</v>
      </c>
      <c r="H245" s="287">
        <v>0.38445890968266899</v>
      </c>
      <c r="I245" s="211">
        <v>5.0943113772455098</v>
      </c>
      <c r="J245" s="211">
        <v>-0.12907850274506999</v>
      </c>
      <c r="K245" s="288">
        <v>-317.27495974738099</v>
      </c>
    </row>
    <row r="246" spans="2:11" x14ac:dyDescent="0.2">
      <c r="B246">
        <v>2</v>
      </c>
      <c r="C246">
        <v>410</v>
      </c>
      <c r="D246" s="308" t="s">
        <v>818</v>
      </c>
      <c r="E246" s="291">
        <v>287</v>
      </c>
      <c r="F246" s="291">
        <v>97</v>
      </c>
      <c r="G246" s="291">
        <v>255</v>
      </c>
      <c r="H246" s="287">
        <v>0.337979094076655</v>
      </c>
      <c r="I246" s="211">
        <v>1.50588235294118</v>
      </c>
      <c r="J246" s="211">
        <v>-0.40055194875137601</v>
      </c>
      <c r="K246" s="288">
        <v>-114.958409291645</v>
      </c>
    </row>
    <row r="247" spans="2:11" x14ac:dyDescent="0.2">
      <c r="B247">
        <v>2</v>
      </c>
      <c r="C247">
        <v>411</v>
      </c>
      <c r="D247" s="308" t="s">
        <v>819</v>
      </c>
      <c r="E247" s="291">
        <v>539</v>
      </c>
      <c r="F247" s="291">
        <v>118</v>
      </c>
      <c r="G247" s="291">
        <v>328</v>
      </c>
      <c r="H247" s="287">
        <v>0.21892393320964801</v>
      </c>
      <c r="I247" s="211">
        <v>2.0030487804877999</v>
      </c>
      <c r="J247" s="211">
        <v>-0.52031283078673196</v>
      </c>
      <c r="K247" s="288">
        <v>-280.44861579404898</v>
      </c>
    </row>
    <row r="248" spans="2:11" x14ac:dyDescent="0.2">
      <c r="B248">
        <v>2</v>
      </c>
      <c r="C248">
        <v>412</v>
      </c>
      <c r="D248" s="308" t="s">
        <v>820</v>
      </c>
      <c r="E248" s="291">
        <v>5909</v>
      </c>
      <c r="F248" s="291">
        <v>3106</v>
      </c>
      <c r="G248" s="291">
        <v>889</v>
      </c>
      <c r="H248" s="287">
        <v>0.52563885598240001</v>
      </c>
      <c r="I248" s="211">
        <v>10.140607424072</v>
      </c>
      <c r="J248" s="211">
        <v>0.361842647445698</v>
      </c>
      <c r="K248" s="288">
        <v>2138.1282037566298</v>
      </c>
    </row>
    <row r="249" spans="2:11" x14ac:dyDescent="0.2">
      <c r="B249">
        <v>2</v>
      </c>
      <c r="C249">
        <v>413</v>
      </c>
      <c r="D249" s="308" t="s">
        <v>821</v>
      </c>
      <c r="E249" s="291">
        <v>2103</v>
      </c>
      <c r="F249" s="291">
        <v>866</v>
      </c>
      <c r="G249" s="291">
        <v>688</v>
      </c>
      <c r="H249" s="287">
        <v>0.41179267712791301</v>
      </c>
      <c r="I249" s="211">
        <v>4.3154069767441898</v>
      </c>
      <c r="J249" s="211">
        <v>-0.13719032603404799</v>
      </c>
      <c r="K249" s="288">
        <v>-288.51125564960398</v>
      </c>
    </row>
    <row r="250" spans="2:11" x14ac:dyDescent="0.2">
      <c r="B250">
        <v>2</v>
      </c>
      <c r="C250">
        <v>414</v>
      </c>
      <c r="D250" s="308" t="s">
        <v>822</v>
      </c>
      <c r="E250" s="291">
        <v>2344</v>
      </c>
      <c r="F250" s="291">
        <v>554</v>
      </c>
      <c r="G250" s="291">
        <v>1928</v>
      </c>
      <c r="H250" s="287">
        <v>0.23634812286689399</v>
      </c>
      <c r="I250" s="211">
        <v>1.5031120331950201</v>
      </c>
      <c r="J250" s="211">
        <v>-0.44799360162104002</v>
      </c>
      <c r="K250" s="288">
        <v>-1050.09700219972</v>
      </c>
    </row>
    <row r="251" spans="2:11" x14ac:dyDescent="0.2">
      <c r="B251">
        <v>2</v>
      </c>
      <c r="C251">
        <v>415</v>
      </c>
      <c r="D251" s="308" t="s">
        <v>823</v>
      </c>
      <c r="E251" s="291">
        <v>1430</v>
      </c>
      <c r="F251" s="291">
        <v>1376</v>
      </c>
      <c r="G251" s="291">
        <v>598</v>
      </c>
      <c r="H251" s="287">
        <v>0.96223776223776203</v>
      </c>
      <c r="I251" s="211">
        <v>4.6923076923076898</v>
      </c>
      <c r="J251" s="211">
        <v>0.53293781611102098</v>
      </c>
      <c r="K251" s="288">
        <v>762.10107703875997</v>
      </c>
    </row>
    <row r="252" spans="2:11" x14ac:dyDescent="0.2">
      <c r="B252">
        <v>2</v>
      </c>
      <c r="C252">
        <v>416</v>
      </c>
      <c r="D252" s="308" t="s">
        <v>824</v>
      </c>
      <c r="E252" s="291">
        <v>134</v>
      </c>
      <c r="F252" s="291">
        <v>35</v>
      </c>
      <c r="G252" s="291">
        <v>290</v>
      </c>
      <c r="H252" s="287">
        <v>0.26119402985074602</v>
      </c>
      <c r="I252" s="211">
        <v>0.582758620689655</v>
      </c>
      <c r="J252" s="211">
        <v>-0.53522765444632803</v>
      </c>
      <c r="K252" s="288">
        <v>-71.720505695807901</v>
      </c>
    </row>
    <row r="253" spans="2:11" x14ac:dyDescent="0.2">
      <c r="B253">
        <v>2</v>
      </c>
      <c r="C253">
        <v>418</v>
      </c>
      <c r="D253" s="308" t="s">
        <v>825</v>
      </c>
      <c r="E253" s="291">
        <v>2940</v>
      </c>
      <c r="F253" s="291">
        <v>1185</v>
      </c>
      <c r="G253" s="291">
        <v>1406</v>
      </c>
      <c r="H253" s="287">
        <v>0.40306122448979598</v>
      </c>
      <c r="I253" s="211">
        <v>2.93385490753912</v>
      </c>
      <c r="J253" s="211">
        <v>-0.16643491282866599</v>
      </c>
      <c r="K253" s="288">
        <v>-489.31864371627802</v>
      </c>
    </row>
    <row r="254" spans="2:11" x14ac:dyDescent="0.2">
      <c r="B254">
        <v>2</v>
      </c>
      <c r="C254">
        <v>420</v>
      </c>
      <c r="D254" s="308" t="s">
        <v>826</v>
      </c>
      <c r="E254" s="291">
        <v>2423</v>
      </c>
      <c r="F254" s="291">
        <v>1045</v>
      </c>
      <c r="G254" s="291">
        <v>265</v>
      </c>
      <c r="H254" s="287">
        <v>0.43128353281056497</v>
      </c>
      <c r="I254" s="211">
        <v>13.086792452830201</v>
      </c>
      <c r="J254" s="211">
        <v>0.21921486611581101</v>
      </c>
      <c r="K254" s="288">
        <v>531.15762059861095</v>
      </c>
    </row>
    <row r="255" spans="2:11" x14ac:dyDescent="0.2">
      <c r="B255">
        <v>2</v>
      </c>
      <c r="C255">
        <v>421</v>
      </c>
      <c r="D255" s="308" t="s">
        <v>827</v>
      </c>
      <c r="E255" s="291">
        <v>81</v>
      </c>
      <c r="F255" s="291">
        <v>138</v>
      </c>
      <c r="G255" s="291">
        <v>243</v>
      </c>
      <c r="H255" s="287">
        <v>1.7037037037036999</v>
      </c>
      <c r="I255" s="211">
        <v>0.90123456790123502</v>
      </c>
      <c r="J255" s="211">
        <v>1.2618731761295801</v>
      </c>
      <c r="K255" s="288">
        <v>102.211727266496</v>
      </c>
    </row>
    <row r="256" spans="2:11" x14ac:dyDescent="0.2">
      <c r="B256">
        <v>2</v>
      </c>
      <c r="C256">
        <v>422</v>
      </c>
      <c r="D256" s="308" t="s">
        <v>828</v>
      </c>
      <c r="E256" s="291">
        <v>161</v>
      </c>
      <c r="F256" s="291">
        <v>23</v>
      </c>
      <c r="G256" s="291">
        <v>133</v>
      </c>
      <c r="H256" s="287">
        <v>0.14285714285714299</v>
      </c>
      <c r="I256" s="211">
        <v>1.3834586466165399</v>
      </c>
      <c r="J256" s="211">
        <v>-0.65162112249507398</v>
      </c>
      <c r="K256" s="288">
        <v>-104.911000721707</v>
      </c>
    </row>
    <row r="257" spans="2:11" x14ac:dyDescent="0.2">
      <c r="B257">
        <v>2</v>
      </c>
      <c r="C257">
        <v>423</v>
      </c>
      <c r="D257" s="308" t="s">
        <v>829</v>
      </c>
      <c r="E257" s="291">
        <v>206</v>
      </c>
      <c r="F257" s="291">
        <v>42</v>
      </c>
      <c r="G257" s="291">
        <v>220</v>
      </c>
      <c r="H257" s="287">
        <v>0.20388349514563101</v>
      </c>
      <c r="I257" s="211">
        <v>1.1272727272727301</v>
      </c>
      <c r="J257" s="211">
        <v>-0.58362702410956502</v>
      </c>
      <c r="K257" s="288">
        <v>-120.22716696657</v>
      </c>
    </row>
    <row r="258" spans="2:11" x14ac:dyDescent="0.2">
      <c r="B258">
        <v>2</v>
      </c>
      <c r="C258">
        <v>424</v>
      </c>
      <c r="D258" s="308" t="s">
        <v>830</v>
      </c>
      <c r="E258" s="291">
        <v>2022</v>
      </c>
      <c r="F258" s="291">
        <v>681</v>
      </c>
      <c r="G258" s="291">
        <v>2821</v>
      </c>
      <c r="H258" s="287">
        <v>0.33679525222551898</v>
      </c>
      <c r="I258" s="211">
        <v>0.95817086139666796</v>
      </c>
      <c r="J258" s="211">
        <v>-0.35570885929036899</v>
      </c>
      <c r="K258" s="288">
        <v>-719.24331348512703</v>
      </c>
    </row>
    <row r="259" spans="2:11" x14ac:dyDescent="0.2">
      <c r="B259">
        <v>2</v>
      </c>
      <c r="C259">
        <v>431</v>
      </c>
      <c r="D259" s="308" t="s">
        <v>831</v>
      </c>
      <c r="E259" s="291">
        <v>1669</v>
      </c>
      <c r="F259" s="291">
        <v>686</v>
      </c>
      <c r="G259" s="291">
        <v>1762</v>
      </c>
      <c r="H259" s="287">
        <v>0.41102456560814898</v>
      </c>
      <c r="I259" s="211">
        <v>1.33654937570942</v>
      </c>
      <c r="J259" s="211">
        <v>-0.26340928062565</v>
      </c>
      <c r="K259" s="288">
        <v>-439.63008936421102</v>
      </c>
    </row>
    <row r="260" spans="2:11" x14ac:dyDescent="0.2">
      <c r="B260">
        <v>2</v>
      </c>
      <c r="C260">
        <v>432</v>
      </c>
      <c r="D260" s="308" t="s">
        <v>832</v>
      </c>
      <c r="E260" s="291">
        <v>480</v>
      </c>
      <c r="F260" s="291">
        <v>99</v>
      </c>
      <c r="G260" s="291">
        <v>1349</v>
      </c>
      <c r="H260" s="287">
        <v>0.20624999999999999</v>
      </c>
      <c r="I260" s="211">
        <v>0.429206819866568</v>
      </c>
      <c r="J260" s="211">
        <v>-0.595694218836473</v>
      </c>
      <c r="K260" s="288">
        <v>-285.933225041507</v>
      </c>
    </row>
    <row r="261" spans="2:11" x14ac:dyDescent="0.2">
      <c r="B261">
        <v>2</v>
      </c>
      <c r="C261">
        <v>433</v>
      </c>
      <c r="D261" s="308" t="s">
        <v>833</v>
      </c>
      <c r="E261" s="291">
        <v>700</v>
      </c>
      <c r="F261" s="291">
        <v>220</v>
      </c>
      <c r="G261" s="291">
        <v>1481</v>
      </c>
      <c r="H261" s="287">
        <v>0.314285714285714</v>
      </c>
      <c r="I261" s="211">
        <v>0.62120189061444997</v>
      </c>
      <c r="J261" s="211">
        <v>-0.446409172184765</v>
      </c>
      <c r="K261" s="288">
        <v>-312.48642052933599</v>
      </c>
    </row>
    <row r="262" spans="2:11" x14ac:dyDescent="0.2">
      <c r="B262">
        <v>2</v>
      </c>
      <c r="C262">
        <v>434</v>
      </c>
      <c r="D262" s="308" t="s">
        <v>834</v>
      </c>
      <c r="E262" s="291">
        <v>1366</v>
      </c>
      <c r="F262" s="291">
        <v>734</v>
      </c>
      <c r="G262" s="291">
        <v>2206</v>
      </c>
      <c r="H262" s="287">
        <v>0.53733528550512399</v>
      </c>
      <c r="I262" s="211">
        <v>0.95194922937443305</v>
      </c>
      <c r="J262" s="211">
        <v>-0.132499249120965</v>
      </c>
      <c r="K262" s="288">
        <v>-180.993974299238</v>
      </c>
    </row>
    <row r="263" spans="2:11" x14ac:dyDescent="0.2">
      <c r="B263">
        <v>2</v>
      </c>
      <c r="C263">
        <v>435</v>
      </c>
      <c r="D263" s="308" t="s">
        <v>835</v>
      </c>
      <c r="E263" s="291">
        <v>542</v>
      </c>
      <c r="F263" s="291">
        <v>239</v>
      </c>
      <c r="G263" s="291">
        <v>1411</v>
      </c>
      <c r="H263" s="287">
        <v>0.44095940959409602</v>
      </c>
      <c r="I263" s="211">
        <v>0.553508150248051</v>
      </c>
      <c r="J263" s="211">
        <v>-0.29794658647565903</v>
      </c>
      <c r="K263" s="288">
        <v>-161.48704986980701</v>
      </c>
    </row>
    <row r="264" spans="2:11" x14ac:dyDescent="0.2">
      <c r="B264">
        <v>2</v>
      </c>
      <c r="C264">
        <v>437</v>
      </c>
      <c r="D264" s="308" t="s">
        <v>836</v>
      </c>
      <c r="E264" s="291">
        <v>116</v>
      </c>
      <c r="F264" s="291">
        <v>50</v>
      </c>
      <c r="G264" s="291">
        <v>471</v>
      </c>
      <c r="H264" s="287">
        <v>0.431034482758621</v>
      </c>
      <c r="I264" s="211">
        <v>0.35244161358810999</v>
      </c>
      <c r="J264" s="211">
        <v>-0.33385838769495901</v>
      </c>
      <c r="K264" s="288">
        <v>-38.727572972615299</v>
      </c>
    </row>
    <row r="265" spans="2:11" x14ac:dyDescent="0.2">
      <c r="B265">
        <v>2</v>
      </c>
      <c r="C265">
        <v>438</v>
      </c>
      <c r="D265" s="308" t="s">
        <v>837</v>
      </c>
      <c r="E265" s="291">
        <v>1211</v>
      </c>
      <c r="F265" s="291">
        <v>471</v>
      </c>
      <c r="G265" s="291">
        <v>2154</v>
      </c>
      <c r="H265" s="287">
        <v>0.38893476465730797</v>
      </c>
      <c r="I265" s="211">
        <v>0.78087279480037097</v>
      </c>
      <c r="J265" s="211">
        <v>-0.32855608071057002</v>
      </c>
      <c r="K265" s="288">
        <v>-397.88141374050002</v>
      </c>
    </row>
    <row r="266" spans="2:11" x14ac:dyDescent="0.2">
      <c r="B266">
        <v>2</v>
      </c>
      <c r="C266">
        <v>441</v>
      </c>
      <c r="D266" s="308" t="s">
        <v>838</v>
      </c>
      <c r="E266" s="291">
        <v>905</v>
      </c>
      <c r="F266" s="291">
        <v>273</v>
      </c>
      <c r="G266" s="291">
        <v>1262</v>
      </c>
      <c r="H266" s="287">
        <v>0.30165745856353599</v>
      </c>
      <c r="I266" s="211">
        <v>0.93343898573692596</v>
      </c>
      <c r="J266" s="211">
        <v>-0.442832678443145</v>
      </c>
      <c r="K266" s="288">
        <v>-400.763573991047</v>
      </c>
    </row>
    <row r="267" spans="2:11" x14ac:dyDescent="0.2">
      <c r="B267">
        <v>2</v>
      </c>
      <c r="C267">
        <v>442</v>
      </c>
      <c r="D267" s="308" t="s">
        <v>839</v>
      </c>
      <c r="E267" s="291">
        <v>195</v>
      </c>
      <c r="F267" s="291">
        <v>34</v>
      </c>
      <c r="G267" s="291">
        <v>693</v>
      </c>
      <c r="H267" s="287">
        <v>0.17435897435897399</v>
      </c>
      <c r="I267" s="211">
        <v>0.33044733044732999</v>
      </c>
      <c r="J267" s="211">
        <v>-0.64970539345506195</v>
      </c>
      <c r="K267" s="288">
        <v>-126.692551723737</v>
      </c>
    </row>
    <row r="268" spans="2:11" x14ac:dyDescent="0.2">
      <c r="B268">
        <v>2</v>
      </c>
      <c r="C268">
        <v>443</v>
      </c>
      <c r="D268" s="308" t="s">
        <v>840</v>
      </c>
      <c r="E268" s="291">
        <v>5121</v>
      </c>
      <c r="F268" s="291">
        <v>3343</v>
      </c>
      <c r="G268" s="291">
        <v>2066</v>
      </c>
      <c r="H268" s="287">
        <v>0.65280218707283699</v>
      </c>
      <c r="I268" s="211">
        <v>4.0968054211035803</v>
      </c>
      <c r="J268" s="211">
        <v>0.26880047476163599</v>
      </c>
      <c r="K268" s="288">
        <v>1376.52723125434</v>
      </c>
    </row>
    <row r="269" spans="2:11" x14ac:dyDescent="0.2">
      <c r="B269">
        <v>2</v>
      </c>
      <c r="C269">
        <v>444</v>
      </c>
      <c r="D269" s="308" t="s">
        <v>841</v>
      </c>
      <c r="E269" s="291">
        <v>1922</v>
      </c>
      <c r="F269" s="291">
        <v>1532</v>
      </c>
      <c r="G269" s="291">
        <v>1487</v>
      </c>
      <c r="H269" s="287">
        <v>0.79708636836628499</v>
      </c>
      <c r="I269" s="211">
        <v>2.3227975790181601</v>
      </c>
      <c r="J269" s="211">
        <v>0.26063512775813502</v>
      </c>
      <c r="K269" s="288">
        <v>500.94071555113601</v>
      </c>
    </row>
    <row r="270" spans="2:11" x14ac:dyDescent="0.2">
      <c r="B270">
        <v>2</v>
      </c>
      <c r="C270">
        <v>445</v>
      </c>
      <c r="D270" s="308" t="s">
        <v>842</v>
      </c>
      <c r="E270" s="291">
        <v>1266</v>
      </c>
      <c r="F270" s="291">
        <v>327</v>
      </c>
      <c r="G270" s="291">
        <v>2374</v>
      </c>
      <c r="H270" s="287">
        <v>0.25829383886255902</v>
      </c>
      <c r="I270" s="211">
        <v>0.67101937657961197</v>
      </c>
      <c r="J270" s="211">
        <v>-0.492348135946508</v>
      </c>
      <c r="K270" s="288">
        <v>-623.31274010827894</v>
      </c>
    </row>
    <row r="271" spans="2:11" x14ac:dyDescent="0.2">
      <c r="B271">
        <v>2</v>
      </c>
      <c r="C271">
        <v>446</v>
      </c>
      <c r="D271" s="308" t="s">
        <v>843</v>
      </c>
      <c r="E271" s="291">
        <v>4565</v>
      </c>
      <c r="F271" s="291">
        <v>2344</v>
      </c>
      <c r="G271" s="291">
        <v>2451</v>
      </c>
      <c r="H271" s="287">
        <v>0.51347207009857598</v>
      </c>
      <c r="I271" s="211">
        <v>2.8188494492044098</v>
      </c>
      <c r="J271" s="211">
        <v>2.82766389897691E-2</v>
      </c>
      <c r="K271" s="288">
        <v>129.08285698829599</v>
      </c>
    </row>
    <row r="272" spans="2:11" x14ac:dyDescent="0.2">
      <c r="B272">
        <v>2</v>
      </c>
      <c r="C272">
        <v>448</v>
      </c>
      <c r="D272" s="308" t="s">
        <v>844</v>
      </c>
      <c r="E272" s="291">
        <v>932</v>
      </c>
      <c r="F272" s="291">
        <v>926</v>
      </c>
      <c r="G272" s="291">
        <v>1617</v>
      </c>
      <c r="H272" s="287">
        <v>0.99356223175965697</v>
      </c>
      <c r="I272" s="211">
        <v>1.1490414347557201</v>
      </c>
      <c r="J272" s="211">
        <v>0.42344886612631999</v>
      </c>
      <c r="K272" s="288">
        <v>394.65434322972999</v>
      </c>
    </row>
    <row r="273" spans="2:11" x14ac:dyDescent="0.2">
      <c r="B273">
        <v>2</v>
      </c>
      <c r="C273">
        <v>449</v>
      </c>
      <c r="D273" s="308" t="s">
        <v>845</v>
      </c>
      <c r="E273" s="291">
        <v>834</v>
      </c>
      <c r="F273" s="291">
        <v>161</v>
      </c>
      <c r="G273" s="291">
        <v>1337</v>
      </c>
      <c r="H273" s="287">
        <v>0.193045563549161</v>
      </c>
      <c r="I273" s="211">
        <v>0.74420344053851895</v>
      </c>
      <c r="J273" s="211">
        <v>-0.58703781478769501</v>
      </c>
      <c r="K273" s="288">
        <v>-489.58953753293702</v>
      </c>
    </row>
    <row r="274" spans="2:11" x14ac:dyDescent="0.2">
      <c r="B274">
        <v>2</v>
      </c>
      <c r="C274">
        <v>450</v>
      </c>
      <c r="D274" s="308" t="s">
        <v>846</v>
      </c>
      <c r="E274" s="291">
        <v>1919</v>
      </c>
      <c r="F274" s="291">
        <v>419</v>
      </c>
      <c r="G274" s="291">
        <v>2354</v>
      </c>
      <c r="H274" s="287">
        <v>0.21834288692027101</v>
      </c>
      <c r="I274" s="211">
        <v>0.99320305862361902</v>
      </c>
      <c r="J274" s="211">
        <v>-0.50514820222102197</v>
      </c>
      <c r="K274" s="288">
        <v>-969.37940006214103</v>
      </c>
    </row>
    <row r="275" spans="2:11" x14ac:dyDescent="0.2">
      <c r="B275">
        <v>2</v>
      </c>
      <c r="C275">
        <v>491</v>
      </c>
      <c r="D275" s="308" t="s">
        <v>847</v>
      </c>
      <c r="E275" s="291">
        <v>590</v>
      </c>
      <c r="F275" s="291">
        <v>297</v>
      </c>
      <c r="G275" s="291">
        <v>659</v>
      </c>
      <c r="H275" s="287">
        <v>0.50338983050847497</v>
      </c>
      <c r="I275" s="211">
        <v>1.3459787556904399</v>
      </c>
      <c r="J275" s="211">
        <v>-0.189837540483866</v>
      </c>
      <c r="K275" s="288">
        <v>-112.004148885481</v>
      </c>
    </row>
    <row r="276" spans="2:11" x14ac:dyDescent="0.2">
      <c r="B276">
        <v>2</v>
      </c>
      <c r="C276">
        <v>492</v>
      </c>
      <c r="D276" s="308" t="s">
        <v>848</v>
      </c>
      <c r="E276" s="291">
        <v>1450</v>
      </c>
      <c r="F276" s="291">
        <v>447</v>
      </c>
      <c r="G276" s="291">
        <v>303</v>
      </c>
      <c r="H276" s="287">
        <v>0.30827586206896601</v>
      </c>
      <c r="I276" s="211">
        <v>6.2607260726072598</v>
      </c>
      <c r="J276" s="211">
        <v>-0.21944007074423</v>
      </c>
      <c r="K276" s="288">
        <v>-318.18810257913401</v>
      </c>
    </row>
    <row r="277" spans="2:11" x14ac:dyDescent="0.2">
      <c r="B277">
        <v>2</v>
      </c>
      <c r="C277">
        <v>493</v>
      </c>
      <c r="D277" s="308" t="s">
        <v>849</v>
      </c>
      <c r="E277" s="291">
        <v>586</v>
      </c>
      <c r="F277" s="291">
        <v>133</v>
      </c>
      <c r="G277" s="291">
        <v>349</v>
      </c>
      <c r="H277" s="287">
        <v>0.226962457337884</v>
      </c>
      <c r="I277" s="211">
        <v>2.0601719197707702</v>
      </c>
      <c r="J277" s="211">
        <v>-0.50647178539467796</v>
      </c>
      <c r="K277" s="288">
        <v>-296.79246624128098</v>
      </c>
    </row>
    <row r="278" spans="2:11" x14ac:dyDescent="0.2">
      <c r="B278">
        <v>2</v>
      </c>
      <c r="C278">
        <v>494</v>
      </c>
      <c r="D278" s="308" t="s">
        <v>850</v>
      </c>
      <c r="E278" s="291">
        <v>793</v>
      </c>
      <c r="F278" s="291">
        <v>474</v>
      </c>
      <c r="G278" s="291">
        <v>750</v>
      </c>
      <c r="H278" s="287">
        <v>0.59773013871374503</v>
      </c>
      <c r="I278" s="211">
        <v>1.68933333333333</v>
      </c>
      <c r="J278" s="211">
        <v>-5.2650528481522699E-2</v>
      </c>
      <c r="K278" s="288">
        <v>-41.751869085847503</v>
      </c>
    </row>
    <row r="279" spans="2:11" x14ac:dyDescent="0.2">
      <c r="B279">
        <v>2</v>
      </c>
      <c r="C279">
        <v>495</v>
      </c>
      <c r="D279" s="308" t="s">
        <v>851</v>
      </c>
      <c r="E279" s="291">
        <v>936</v>
      </c>
      <c r="F279" s="291">
        <v>650</v>
      </c>
      <c r="G279" s="291">
        <v>993</v>
      </c>
      <c r="H279" s="287">
        <v>0.69444444444444398</v>
      </c>
      <c r="I279" s="211">
        <v>1.5971802618328299</v>
      </c>
      <c r="J279" s="211">
        <v>6.9296102360031905E-2</v>
      </c>
      <c r="K279" s="288">
        <v>64.861151808989803</v>
      </c>
    </row>
    <row r="280" spans="2:11" x14ac:dyDescent="0.2">
      <c r="B280">
        <v>2</v>
      </c>
      <c r="C280">
        <v>496</v>
      </c>
      <c r="D280" s="308" t="s">
        <v>852</v>
      </c>
      <c r="E280" s="291">
        <v>3496</v>
      </c>
      <c r="F280" s="291">
        <v>1721</v>
      </c>
      <c r="G280" s="291">
        <v>2328</v>
      </c>
      <c r="H280" s="287">
        <v>0.49227688787185397</v>
      </c>
      <c r="I280" s="211">
        <v>2.2409793814432999</v>
      </c>
      <c r="J280" s="211">
        <v>-5.9917301415254601E-2</v>
      </c>
      <c r="K280" s="288">
        <v>-209.47088574772999</v>
      </c>
    </row>
    <row r="281" spans="2:11" x14ac:dyDescent="0.2">
      <c r="B281">
        <v>2</v>
      </c>
      <c r="C281">
        <v>497</v>
      </c>
      <c r="D281" s="308" t="s">
        <v>853</v>
      </c>
      <c r="E281" s="291">
        <v>530</v>
      </c>
      <c r="F281" s="291">
        <v>140</v>
      </c>
      <c r="G281" s="291">
        <v>534</v>
      </c>
      <c r="H281" s="287">
        <v>0.26415094339622602</v>
      </c>
      <c r="I281" s="211">
        <v>1.25468164794007</v>
      </c>
      <c r="J281" s="211">
        <v>-0.491917354249779</v>
      </c>
      <c r="K281" s="288">
        <v>-260.71619775238298</v>
      </c>
    </row>
    <row r="282" spans="2:11" x14ac:dyDescent="0.2">
      <c r="B282">
        <v>2</v>
      </c>
      <c r="C282">
        <v>498</v>
      </c>
      <c r="D282" s="308" t="s">
        <v>854</v>
      </c>
      <c r="E282" s="291">
        <v>1342</v>
      </c>
      <c r="F282" s="291">
        <v>1019</v>
      </c>
      <c r="G282" s="291">
        <v>476</v>
      </c>
      <c r="H282" s="287">
        <v>0.75931445603576797</v>
      </c>
      <c r="I282" s="211">
        <v>4.96008403361345</v>
      </c>
      <c r="J282" s="211">
        <v>0.28788997131065902</v>
      </c>
      <c r="K282" s="288">
        <v>386.34834149890497</v>
      </c>
    </row>
    <row r="283" spans="2:11" x14ac:dyDescent="0.2">
      <c r="B283">
        <v>2</v>
      </c>
      <c r="C283">
        <v>499</v>
      </c>
      <c r="D283" s="308" t="s">
        <v>855</v>
      </c>
      <c r="E283" s="291">
        <v>571</v>
      </c>
      <c r="F283" s="291">
        <v>247</v>
      </c>
      <c r="G283" s="291">
        <v>549</v>
      </c>
      <c r="H283" s="287">
        <v>0.43257443082311697</v>
      </c>
      <c r="I283" s="211">
        <v>1.48998178506375</v>
      </c>
      <c r="J283" s="211">
        <v>-0.27306144492457102</v>
      </c>
      <c r="K283" s="288">
        <v>-155.91808505193001</v>
      </c>
    </row>
    <row r="284" spans="2:11" x14ac:dyDescent="0.2">
      <c r="B284">
        <v>2</v>
      </c>
      <c r="C284">
        <v>500</v>
      </c>
      <c r="D284" s="308" t="s">
        <v>856</v>
      </c>
      <c r="E284" s="291">
        <v>426</v>
      </c>
      <c r="F284" s="291">
        <v>174</v>
      </c>
      <c r="G284" s="291">
        <v>463</v>
      </c>
      <c r="H284" s="287">
        <v>0.40845070422535201</v>
      </c>
      <c r="I284" s="211">
        <v>1.2958963282937399</v>
      </c>
      <c r="J284" s="211">
        <v>-0.31557632271131703</v>
      </c>
      <c r="K284" s="288">
        <v>-134.435513475021</v>
      </c>
    </row>
    <row r="285" spans="2:11" x14ac:dyDescent="0.2">
      <c r="B285">
        <v>2</v>
      </c>
      <c r="C285">
        <v>501</v>
      </c>
      <c r="D285" s="308" t="s">
        <v>857</v>
      </c>
      <c r="E285" s="291">
        <v>440</v>
      </c>
      <c r="F285" s="291">
        <v>410</v>
      </c>
      <c r="G285" s="291">
        <v>329</v>
      </c>
      <c r="H285" s="287">
        <v>0.93181818181818199</v>
      </c>
      <c r="I285" s="211">
        <v>2.5835866261398199</v>
      </c>
      <c r="J285" s="211">
        <v>0.380478468616336</v>
      </c>
      <c r="K285" s="288">
        <v>167.41052619118801</v>
      </c>
    </row>
    <row r="286" spans="2:11" x14ac:dyDescent="0.2">
      <c r="B286">
        <v>2</v>
      </c>
      <c r="C286">
        <v>502</v>
      </c>
      <c r="D286" s="308" t="s">
        <v>858</v>
      </c>
      <c r="E286" s="291">
        <v>854</v>
      </c>
      <c r="F286" s="291">
        <v>177</v>
      </c>
      <c r="G286" s="291">
        <v>460</v>
      </c>
      <c r="H286" s="287">
        <v>0.20725995316159301</v>
      </c>
      <c r="I286" s="211">
        <v>2.2413043478260901</v>
      </c>
      <c r="J286" s="211">
        <v>-0.51403763072086495</v>
      </c>
      <c r="K286" s="288">
        <v>-438.98813663561901</v>
      </c>
    </row>
    <row r="287" spans="2:11" x14ac:dyDescent="0.2">
      <c r="B287">
        <v>2</v>
      </c>
      <c r="C287">
        <v>533</v>
      </c>
      <c r="D287" s="308" t="s">
        <v>859</v>
      </c>
      <c r="E287" s="291">
        <v>3242</v>
      </c>
      <c r="F287" s="291">
        <v>910</v>
      </c>
      <c r="G287" s="291">
        <v>992</v>
      </c>
      <c r="H287" s="287">
        <v>0.28069093152375102</v>
      </c>
      <c r="I287" s="211">
        <v>4.1854838709677402</v>
      </c>
      <c r="J287" s="211">
        <v>-0.26086659437153797</v>
      </c>
      <c r="K287" s="288">
        <v>-845.72949895252805</v>
      </c>
    </row>
    <row r="288" spans="2:11" x14ac:dyDescent="0.2">
      <c r="B288">
        <v>2</v>
      </c>
      <c r="C288">
        <v>535</v>
      </c>
      <c r="D288" s="308" t="s">
        <v>860</v>
      </c>
      <c r="E288" s="291">
        <v>86</v>
      </c>
      <c r="F288" s="291">
        <v>197</v>
      </c>
      <c r="G288" s="291">
        <v>214</v>
      </c>
      <c r="H288" s="287">
        <v>2.2906976744185998</v>
      </c>
      <c r="I288" s="211">
        <v>1.3224299065420599</v>
      </c>
      <c r="J288" s="211">
        <v>2.00481350570226</v>
      </c>
      <c r="K288" s="288">
        <v>172.413961490395</v>
      </c>
    </row>
    <row r="289" spans="2:11" x14ac:dyDescent="0.2">
      <c r="B289">
        <v>2</v>
      </c>
      <c r="C289">
        <v>536</v>
      </c>
      <c r="D289" s="308" t="s">
        <v>861</v>
      </c>
      <c r="E289" s="291">
        <v>199</v>
      </c>
      <c r="F289" s="291">
        <v>71</v>
      </c>
      <c r="G289" s="291">
        <v>282</v>
      </c>
      <c r="H289" s="287">
        <v>0.35678391959799</v>
      </c>
      <c r="I289" s="211">
        <v>0.95744680851063801</v>
      </c>
      <c r="J289" s="211">
        <v>-0.400621899413863</v>
      </c>
      <c r="K289" s="288">
        <v>-79.723757983358794</v>
      </c>
    </row>
    <row r="290" spans="2:11" x14ac:dyDescent="0.2">
      <c r="B290">
        <v>2</v>
      </c>
      <c r="C290">
        <v>538</v>
      </c>
      <c r="D290" s="308" t="s">
        <v>862</v>
      </c>
      <c r="E290" s="291">
        <v>4962</v>
      </c>
      <c r="F290" s="291">
        <v>1205</v>
      </c>
      <c r="G290" s="291">
        <v>3178</v>
      </c>
      <c r="H290" s="287">
        <v>0.24284562676340199</v>
      </c>
      <c r="I290" s="211">
        <v>1.94052863436123</v>
      </c>
      <c r="J290" s="211">
        <v>-0.32395050246242302</v>
      </c>
      <c r="K290" s="288">
        <v>-1607.44239321854</v>
      </c>
    </row>
    <row r="291" spans="2:11" x14ac:dyDescent="0.2">
      <c r="B291">
        <v>2</v>
      </c>
      <c r="C291">
        <v>540</v>
      </c>
      <c r="D291" s="308" t="s">
        <v>863</v>
      </c>
      <c r="E291" s="291">
        <v>5710</v>
      </c>
      <c r="F291" s="291">
        <v>2153</v>
      </c>
      <c r="G291" s="291">
        <v>1341</v>
      </c>
      <c r="H291" s="287">
        <v>0.377057793345009</v>
      </c>
      <c r="I291" s="211">
        <v>5.8635346756152096</v>
      </c>
      <c r="J291" s="211">
        <v>1.40727633443525E-2</v>
      </c>
      <c r="K291" s="288">
        <v>80.355478696252803</v>
      </c>
    </row>
    <row r="292" spans="2:11" x14ac:dyDescent="0.2">
      <c r="B292">
        <v>2</v>
      </c>
      <c r="C292">
        <v>541</v>
      </c>
      <c r="D292" s="308" t="s">
        <v>864</v>
      </c>
      <c r="E292" s="291">
        <v>422</v>
      </c>
      <c r="F292" s="291">
        <v>154</v>
      </c>
      <c r="G292" s="291">
        <v>507</v>
      </c>
      <c r="H292" s="287">
        <v>0.36492890995260702</v>
      </c>
      <c r="I292" s="211">
        <v>1.1360946745562099</v>
      </c>
      <c r="J292" s="211">
        <v>-0.375490203758436</v>
      </c>
      <c r="K292" s="288">
        <v>-158.45686598606</v>
      </c>
    </row>
    <row r="293" spans="2:11" x14ac:dyDescent="0.2">
      <c r="B293">
        <v>2</v>
      </c>
      <c r="C293">
        <v>543</v>
      </c>
      <c r="D293" s="308" t="s">
        <v>865</v>
      </c>
      <c r="E293" s="291">
        <v>566</v>
      </c>
      <c r="F293" s="291">
        <v>218</v>
      </c>
      <c r="G293" s="291">
        <v>374</v>
      </c>
      <c r="H293" s="287">
        <v>0.38515901060070701</v>
      </c>
      <c r="I293" s="211">
        <v>2.0962566844919799</v>
      </c>
      <c r="J293" s="211">
        <v>-0.30988791746889699</v>
      </c>
      <c r="K293" s="288">
        <v>-175.396561287396</v>
      </c>
    </row>
    <row r="294" spans="2:11" x14ac:dyDescent="0.2">
      <c r="B294">
        <v>2</v>
      </c>
      <c r="C294">
        <v>544</v>
      </c>
      <c r="D294" s="308" t="s">
        <v>866</v>
      </c>
      <c r="E294" s="291">
        <v>3975</v>
      </c>
      <c r="F294" s="291">
        <v>5065</v>
      </c>
      <c r="G294" s="291">
        <v>613</v>
      </c>
      <c r="H294" s="287">
        <v>1.27421383647799</v>
      </c>
      <c r="I294" s="211">
        <v>14.747145187601999</v>
      </c>
      <c r="J294" s="211">
        <v>1.38362328415701</v>
      </c>
      <c r="K294" s="288">
        <v>5499.9025545241102</v>
      </c>
    </row>
    <row r="295" spans="2:11" x14ac:dyDescent="0.2">
      <c r="B295">
        <v>2</v>
      </c>
      <c r="C295">
        <v>546</v>
      </c>
      <c r="D295" s="308" t="s">
        <v>867</v>
      </c>
      <c r="E295" s="291">
        <v>10122</v>
      </c>
      <c r="F295" s="291">
        <v>5223</v>
      </c>
      <c r="G295" s="291">
        <v>881</v>
      </c>
      <c r="H295" s="287">
        <v>0.51600474214582104</v>
      </c>
      <c r="I295" s="211">
        <v>17.417707150964802</v>
      </c>
      <c r="J295" s="211">
        <v>0.77638736524296303</v>
      </c>
      <c r="K295" s="288">
        <v>7858.5929109892704</v>
      </c>
    </row>
    <row r="296" spans="2:11" x14ac:dyDescent="0.2">
      <c r="B296">
        <v>2</v>
      </c>
      <c r="C296">
        <v>551</v>
      </c>
      <c r="D296" s="308" t="s">
        <v>868</v>
      </c>
      <c r="E296" s="291">
        <v>6216</v>
      </c>
      <c r="F296" s="291">
        <v>3431</v>
      </c>
      <c r="G296" s="291">
        <v>685</v>
      </c>
      <c r="H296" s="287">
        <v>0.55196267696267698</v>
      </c>
      <c r="I296" s="211">
        <v>14.0832116788321</v>
      </c>
      <c r="J296" s="211">
        <v>0.55003921206552597</v>
      </c>
      <c r="K296" s="288">
        <v>3419.0437421993101</v>
      </c>
    </row>
    <row r="297" spans="2:11" x14ac:dyDescent="0.2">
      <c r="B297">
        <v>2</v>
      </c>
      <c r="C297">
        <v>552</v>
      </c>
      <c r="D297" s="308" t="s">
        <v>869</v>
      </c>
      <c r="E297" s="291">
        <v>4253</v>
      </c>
      <c r="F297" s="291">
        <v>1815</v>
      </c>
      <c r="G297" s="291">
        <v>1685</v>
      </c>
      <c r="H297" s="287">
        <v>0.42675758288267102</v>
      </c>
      <c r="I297" s="211">
        <v>3.60118694362018</v>
      </c>
      <c r="J297" s="211">
        <v>-6.2554455826285896E-2</v>
      </c>
      <c r="K297" s="288">
        <v>-266.04410062919402</v>
      </c>
    </row>
    <row r="298" spans="2:11" x14ac:dyDescent="0.2">
      <c r="B298">
        <v>2</v>
      </c>
      <c r="C298">
        <v>553</v>
      </c>
      <c r="D298" s="308" t="s">
        <v>870</v>
      </c>
      <c r="E298" s="291">
        <v>98</v>
      </c>
      <c r="F298" s="291">
        <v>39</v>
      </c>
      <c r="G298" s="291">
        <v>142</v>
      </c>
      <c r="H298" s="287">
        <v>0.397959183673469</v>
      </c>
      <c r="I298" s="211">
        <v>0.96478873239436602</v>
      </c>
      <c r="J298" s="211">
        <v>-0.35319027317185703</v>
      </c>
      <c r="K298" s="288">
        <v>-34.612646770841899</v>
      </c>
    </row>
    <row r="299" spans="2:11" x14ac:dyDescent="0.2">
      <c r="B299">
        <v>2</v>
      </c>
      <c r="C299">
        <v>554</v>
      </c>
      <c r="D299" s="308" t="s">
        <v>871</v>
      </c>
      <c r="E299" s="291">
        <v>925</v>
      </c>
      <c r="F299" s="291">
        <v>352</v>
      </c>
      <c r="G299" s="291">
        <v>372</v>
      </c>
      <c r="H299" s="287">
        <v>0.38054054054054098</v>
      </c>
      <c r="I299" s="211">
        <v>3.4327956989247301</v>
      </c>
      <c r="J299" s="211">
        <v>-0.253129861256637</v>
      </c>
      <c r="K299" s="288">
        <v>-234.14512166238899</v>
      </c>
    </row>
    <row r="300" spans="2:11" x14ac:dyDescent="0.2">
      <c r="B300">
        <v>2</v>
      </c>
      <c r="C300">
        <v>556</v>
      </c>
      <c r="D300" s="308" t="s">
        <v>872</v>
      </c>
      <c r="E300" s="291">
        <v>312</v>
      </c>
      <c r="F300" s="291">
        <v>45</v>
      </c>
      <c r="G300" s="291">
        <v>187</v>
      </c>
      <c r="H300" s="287">
        <v>0.144230769230769</v>
      </c>
      <c r="I300" s="211">
        <v>1.9090909090909101</v>
      </c>
      <c r="J300" s="211">
        <v>-0.62497154348765405</v>
      </c>
      <c r="K300" s="288">
        <v>-194.991121568148</v>
      </c>
    </row>
    <row r="301" spans="2:11" x14ac:dyDescent="0.2">
      <c r="B301">
        <v>2</v>
      </c>
      <c r="C301">
        <v>557</v>
      </c>
      <c r="D301" s="308" t="s">
        <v>873</v>
      </c>
      <c r="E301" s="291">
        <v>572</v>
      </c>
      <c r="F301" s="291">
        <v>69</v>
      </c>
      <c r="G301" s="291">
        <v>345</v>
      </c>
      <c r="H301" s="287">
        <v>0.120629370629371</v>
      </c>
      <c r="I301" s="211">
        <v>1.8579710144927499</v>
      </c>
      <c r="J301" s="211">
        <v>-0.64614820823576202</v>
      </c>
      <c r="K301" s="288">
        <v>-369.59677511085602</v>
      </c>
    </row>
    <row r="302" spans="2:11" x14ac:dyDescent="0.2">
      <c r="B302">
        <v>2</v>
      </c>
      <c r="C302">
        <v>561</v>
      </c>
      <c r="D302" s="308" t="s">
        <v>874</v>
      </c>
      <c r="E302" s="291">
        <v>3370</v>
      </c>
      <c r="F302" s="291">
        <v>2420</v>
      </c>
      <c r="G302" s="291">
        <v>5499</v>
      </c>
      <c r="H302" s="287">
        <v>0.71810089020771495</v>
      </c>
      <c r="I302" s="211">
        <v>1.05291871249318</v>
      </c>
      <c r="J302" s="211">
        <v>0.17175467671127101</v>
      </c>
      <c r="K302" s="288">
        <v>578.81326051698397</v>
      </c>
    </row>
    <row r="303" spans="2:11" x14ac:dyDescent="0.2">
      <c r="B303">
        <v>2</v>
      </c>
      <c r="C303">
        <v>562</v>
      </c>
      <c r="D303" s="308" t="s">
        <v>875</v>
      </c>
      <c r="E303" s="291">
        <v>2232</v>
      </c>
      <c r="F303" s="291">
        <v>933</v>
      </c>
      <c r="G303" s="291">
        <v>2454</v>
      </c>
      <c r="H303" s="287">
        <v>0.418010752688172</v>
      </c>
      <c r="I303" s="211">
        <v>1.28973105134474</v>
      </c>
      <c r="J303" s="211">
        <v>-0.23494849286490399</v>
      </c>
      <c r="K303" s="288">
        <v>-524.40503607446499</v>
      </c>
    </row>
    <row r="304" spans="2:11" x14ac:dyDescent="0.2">
      <c r="B304">
        <v>2</v>
      </c>
      <c r="C304">
        <v>563</v>
      </c>
      <c r="D304" s="308" t="s">
        <v>876</v>
      </c>
      <c r="E304" s="291">
        <v>6894</v>
      </c>
      <c r="F304" s="291">
        <v>4205</v>
      </c>
      <c r="G304" s="291">
        <v>6120</v>
      </c>
      <c r="H304" s="287">
        <v>0.60995068175224798</v>
      </c>
      <c r="I304" s="211">
        <v>1.81356209150327</v>
      </c>
      <c r="J304" s="211">
        <v>0.20014121539688601</v>
      </c>
      <c r="K304" s="288">
        <v>1379.77353894613</v>
      </c>
    </row>
    <row r="305" spans="2:11" x14ac:dyDescent="0.2">
      <c r="B305">
        <v>2</v>
      </c>
      <c r="C305">
        <v>564</v>
      </c>
      <c r="D305" s="308" t="s">
        <v>877</v>
      </c>
      <c r="E305" s="291">
        <v>798</v>
      </c>
      <c r="F305" s="291">
        <v>282</v>
      </c>
      <c r="G305" s="291">
        <v>2382</v>
      </c>
      <c r="H305" s="287">
        <v>0.35338345864661702</v>
      </c>
      <c r="I305" s="211">
        <v>0.45340050377833802</v>
      </c>
      <c r="J305" s="211">
        <v>-0.40033838895908103</v>
      </c>
      <c r="K305" s="288">
        <v>-319.47003438934598</v>
      </c>
    </row>
    <row r="306" spans="2:11" x14ac:dyDescent="0.2">
      <c r="B306">
        <v>2</v>
      </c>
      <c r="C306">
        <v>565</v>
      </c>
      <c r="D306" s="308" t="s">
        <v>878</v>
      </c>
      <c r="E306" s="291">
        <v>1283</v>
      </c>
      <c r="F306" s="291">
        <v>705</v>
      </c>
      <c r="G306" s="291">
        <v>3511</v>
      </c>
      <c r="H306" s="287">
        <v>0.549493374902572</v>
      </c>
      <c r="I306" s="211">
        <v>0.56622045001424104</v>
      </c>
      <c r="J306" s="211">
        <v>-0.13467815996118099</v>
      </c>
      <c r="K306" s="288">
        <v>-172.79207923019499</v>
      </c>
    </row>
    <row r="307" spans="2:11" x14ac:dyDescent="0.2">
      <c r="B307">
        <v>2</v>
      </c>
      <c r="C307">
        <v>566</v>
      </c>
      <c r="D307" s="308" t="s">
        <v>879</v>
      </c>
      <c r="E307" s="291">
        <v>1124</v>
      </c>
      <c r="F307" s="291">
        <v>269</v>
      </c>
      <c r="G307" s="291">
        <v>593</v>
      </c>
      <c r="H307" s="287">
        <v>0.23932384341637</v>
      </c>
      <c r="I307" s="211">
        <v>2.3490725126475498</v>
      </c>
      <c r="J307" s="211">
        <v>-0.46005670714901697</v>
      </c>
      <c r="K307" s="288">
        <v>-517.10373883549505</v>
      </c>
    </row>
    <row r="308" spans="2:11" x14ac:dyDescent="0.2">
      <c r="B308">
        <v>2</v>
      </c>
      <c r="C308">
        <v>567</v>
      </c>
      <c r="D308" s="308" t="s">
        <v>880</v>
      </c>
      <c r="E308" s="291">
        <v>3604</v>
      </c>
      <c r="F308" s="291">
        <v>1503</v>
      </c>
      <c r="G308" s="291">
        <v>8405</v>
      </c>
      <c r="H308" s="287">
        <v>0.41703662597114299</v>
      </c>
      <c r="I308" s="211">
        <v>0.60761451516954201</v>
      </c>
      <c r="J308" s="211">
        <v>-0.20861936488810001</v>
      </c>
      <c r="K308" s="288">
        <v>-751.86419105671098</v>
      </c>
    </row>
    <row r="309" spans="2:11" x14ac:dyDescent="0.2">
      <c r="B309">
        <v>2</v>
      </c>
      <c r="C309">
        <v>571</v>
      </c>
      <c r="D309" s="308" t="s">
        <v>881</v>
      </c>
      <c r="E309" s="291">
        <v>1208</v>
      </c>
      <c r="F309" s="291">
        <v>570</v>
      </c>
      <c r="G309" s="291">
        <v>2669</v>
      </c>
      <c r="H309" s="287">
        <v>0.471854304635762</v>
      </c>
      <c r="I309" s="211">
        <v>0.66616710378418897</v>
      </c>
      <c r="J309" s="211">
        <v>-0.23010484851377999</v>
      </c>
      <c r="K309" s="288">
        <v>-277.96665700464598</v>
      </c>
    </row>
    <row r="310" spans="2:11" x14ac:dyDescent="0.2">
      <c r="B310">
        <v>2</v>
      </c>
      <c r="C310">
        <v>572</v>
      </c>
      <c r="D310" s="308" t="s">
        <v>882</v>
      </c>
      <c r="E310" s="291">
        <v>2531</v>
      </c>
      <c r="F310" s="291">
        <v>687</v>
      </c>
      <c r="G310" s="291">
        <v>1218</v>
      </c>
      <c r="H310" s="287">
        <v>0.27143421572500998</v>
      </c>
      <c r="I310" s="211">
        <v>2.6420361247947501</v>
      </c>
      <c r="J310" s="211">
        <v>-0.35581712410299499</v>
      </c>
      <c r="K310" s="288">
        <v>-900.57314110468099</v>
      </c>
    </row>
    <row r="311" spans="2:11" x14ac:dyDescent="0.2">
      <c r="B311">
        <v>2</v>
      </c>
      <c r="C311">
        <v>573</v>
      </c>
      <c r="D311" s="308" t="s">
        <v>883</v>
      </c>
      <c r="E311" s="291">
        <v>3080</v>
      </c>
      <c r="F311" s="291">
        <v>1593</v>
      </c>
      <c r="G311" s="291">
        <v>3724</v>
      </c>
      <c r="H311" s="287">
        <v>0.51720779220779201</v>
      </c>
      <c r="I311" s="211">
        <v>1.25483351235231</v>
      </c>
      <c r="J311" s="211">
        <v>-8.0898691513655793E-2</v>
      </c>
      <c r="K311" s="288">
        <v>-249.16796986206</v>
      </c>
    </row>
    <row r="312" spans="2:11" x14ac:dyDescent="0.2">
      <c r="B312">
        <v>2</v>
      </c>
      <c r="C312">
        <v>574</v>
      </c>
      <c r="D312" s="308" t="s">
        <v>884</v>
      </c>
      <c r="E312" s="291">
        <v>493</v>
      </c>
      <c r="F312" s="291">
        <v>140</v>
      </c>
      <c r="G312" s="291">
        <v>1189</v>
      </c>
      <c r="H312" s="287">
        <v>0.28397565922920898</v>
      </c>
      <c r="I312" s="211">
        <v>0.53238015138772099</v>
      </c>
      <c r="J312" s="211">
        <v>-0.49511834526588999</v>
      </c>
      <c r="K312" s="288">
        <v>-244.09334421608401</v>
      </c>
    </row>
    <row r="313" spans="2:11" x14ac:dyDescent="0.2">
      <c r="B313">
        <v>2</v>
      </c>
      <c r="C313">
        <v>575</v>
      </c>
      <c r="D313" s="308" t="s">
        <v>885</v>
      </c>
      <c r="E313" s="291">
        <v>429</v>
      </c>
      <c r="F313" s="291">
        <v>53</v>
      </c>
      <c r="G313" s="291">
        <v>633</v>
      </c>
      <c r="H313" s="287">
        <v>0.12354312354312399</v>
      </c>
      <c r="I313" s="211">
        <v>0.76145339652448696</v>
      </c>
      <c r="J313" s="211">
        <v>-0.68800821368793896</v>
      </c>
      <c r="K313" s="288">
        <v>-295.15552367212598</v>
      </c>
    </row>
    <row r="314" spans="2:11" x14ac:dyDescent="0.2">
      <c r="B314">
        <v>2</v>
      </c>
      <c r="C314">
        <v>576</v>
      </c>
      <c r="D314" s="308" t="s">
        <v>886</v>
      </c>
      <c r="E314" s="291">
        <v>3818</v>
      </c>
      <c r="F314" s="291">
        <v>3093</v>
      </c>
      <c r="G314" s="291">
        <v>8146</v>
      </c>
      <c r="H314" s="287">
        <v>0.81011000523834498</v>
      </c>
      <c r="I314" s="211">
        <v>0.84839184876012796</v>
      </c>
      <c r="J314" s="211">
        <v>0.29542471133761</v>
      </c>
      <c r="K314" s="288">
        <v>1127.9315478869901</v>
      </c>
    </row>
    <row r="315" spans="2:11" x14ac:dyDescent="0.2">
      <c r="B315">
        <v>2</v>
      </c>
      <c r="C315">
        <v>577</v>
      </c>
      <c r="D315" s="308" t="s">
        <v>887</v>
      </c>
      <c r="E315" s="291">
        <v>398</v>
      </c>
      <c r="F315" s="291">
        <v>155</v>
      </c>
      <c r="G315" s="291">
        <v>650</v>
      </c>
      <c r="H315" s="287">
        <v>0.38944723618090499</v>
      </c>
      <c r="I315" s="211">
        <v>0.85076923076923106</v>
      </c>
      <c r="J315" s="211">
        <v>-0.356435157319415</v>
      </c>
      <c r="K315" s="288">
        <v>-141.861192613127</v>
      </c>
    </row>
    <row r="316" spans="2:11" x14ac:dyDescent="0.2">
      <c r="B316">
        <v>2</v>
      </c>
      <c r="C316">
        <v>578</v>
      </c>
      <c r="D316" s="308" t="s">
        <v>888</v>
      </c>
      <c r="E316" s="291">
        <v>317</v>
      </c>
      <c r="F316" s="291">
        <v>108</v>
      </c>
      <c r="G316" s="291">
        <v>1253</v>
      </c>
      <c r="H316" s="287">
        <v>0.34069400630914798</v>
      </c>
      <c r="I316" s="211">
        <v>0.339185953711093</v>
      </c>
      <c r="J316" s="211">
        <v>-0.43860859940515001</v>
      </c>
      <c r="K316" s="288">
        <v>-139.03892601143201</v>
      </c>
    </row>
    <row r="317" spans="2:11" x14ac:dyDescent="0.2">
      <c r="B317">
        <v>2</v>
      </c>
      <c r="C317">
        <v>579</v>
      </c>
      <c r="D317" s="308" t="s">
        <v>889</v>
      </c>
      <c r="E317" s="291">
        <v>650</v>
      </c>
      <c r="F317" s="291">
        <v>267</v>
      </c>
      <c r="G317" s="291">
        <v>4646</v>
      </c>
      <c r="H317" s="287">
        <v>0.410769230769231</v>
      </c>
      <c r="I317" s="211">
        <v>0.19737408523461</v>
      </c>
      <c r="J317" s="211">
        <v>-0.34422417519102899</v>
      </c>
      <c r="K317" s="288">
        <v>-223.74571387416901</v>
      </c>
    </row>
    <row r="318" spans="2:11" x14ac:dyDescent="0.2">
      <c r="B318">
        <v>2</v>
      </c>
      <c r="C318">
        <v>580</v>
      </c>
      <c r="D318" s="308" t="s">
        <v>890</v>
      </c>
      <c r="E318" s="291">
        <v>538</v>
      </c>
      <c r="F318" s="291">
        <v>288</v>
      </c>
      <c r="G318" s="291">
        <v>689</v>
      </c>
      <c r="H318" s="287">
        <v>0.53531598513011103</v>
      </c>
      <c r="I318" s="211">
        <v>1.1988388969521</v>
      </c>
      <c r="J318" s="211">
        <v>-0.157631114502821</v>
      </c>
      <c r="K318" s="288">
        <v>-84.805539602517499</v>
      </c>
    </row>
    <row r="319" spans="2:11" x14ac:dyDescent="0.2">
      <c r="B319">
        <v>2</v>
      </c>
      <c r="C319">
        <v>581</v>
      </c>
      <c r="D319" s="308" t="s">
        <v>891</v>
      </c>
      <c r="E319" s="291">
        <v>5673</v>
      </c>
      <c r="F319" s="291">
        <v>6975</v>
      </c>
      <c r="G319" s="291">
        <v>400</v>
      </c>
      <c r="H319" s="287">
        <v>1.22950819672131</v>
      </c>
      <c r="I319" s="211">
        <v>31.62</v>
      </c>
      <c r="J319" s="211">
        <v>2.0087148946368498</v>
      </c>
      <c r="K319" s="288">
        <v>11395.439597274901</v>
      </c>
    </row>
    <row r="320" spans="2:11" x14ac:dyDescent="0.2">
      <c r="B320">
        <v>2</v>
      </c>
      <c r="C320">
        <v>582</v>
      </c>
      <c r="D320" s="308" t="s">
        <v>892</v>
      </c>
      <c r="E320" s="291">
        <v>433</v>
      </c>
      <c r="F320" s="291">
        <v>112</v>
      </c>
      <c r="G320" s="291">
        <v>1786</v>
      </c>
      <c r="H320" s="287">
        <v>0.25866050808314101</v>
      </c>
      <c r="I320" s="211">
        <v>0.30515117581187001</v>
      </c>
      <c r="J320" s="211">
        <v>-0.53707103679103396</v>
      </c>
      <c r="K320" s="288">
        <v>-232.55175893051799</v>
      </c>
    </row>
    <row r="321" spans="2:11" x14ac:dyDescent="0.2">
      <c r="B321">
        <v>2</v>
      </c>
      <c r="C321">
        <v>584</v>
      </c>
      <c r="D321" s="308" t="s">
        <v>893</v>
      </c>
      <c r="E321" s="291">
        <v>2406</v>
      </c>
      <c r="F321" s="291">
        <v>2311</v>
      </c>
      <c r="G321" s="291">
        <v>6851</v>
      </c>
      <c r="H321" s="287">
        <v>0.96051537822111399</v>
      </c>
      <c r="I321" s="211">
        <v>0.68851262589402995</v>
      </c>
      <c r="J321" s="211">
        <v>0.42201666028686002</v>
      </c>
      <c r="K321" s="288">
        <v>1015.37208465019</v>
      </c>
    </row>
    <row r="322" spans="2:11" x14ac:dyDescent="0.2">
      <c r="B322">
        <v>2</v>
      </c>
      <c r="C322">
        <v>585</v>
      </c>
      <c r="D322" s="308" t="s">
        <v>894</v>
      </c>
      <c r="E322" s="291">
        <v>1036</v>
      </c>
      <c r="F322" s="291">
        <v>280</v>
      </c>
      <c r="G322" s="291">
        <v>918</v>
      </c>
      <c r="H322" s="287">
        <v>0.27027027027027001</v>
      </c>
      <c r="I322" s="211">
        <v>1.4335511982570801</v>
      </c>
      <c r="J322" s="211">
        <v>-0.45847442009269901</v>
      </c>
      <c r="K322" s="288">
        <v>-474.979499216036</v>
      </c>
    </row>
    <row r="323" spans="2:11" x14ac:dyDescent="0.2">
      <c r="B323">
        <v>2</v>
      </c>
      <c r="C323">
        <v>586</v>
      </c>
      <c r="D323" s="308" t="s">
        <v>895</v>
      </c>
      <c r="E323" s="291">
        <v>227</v>
      </c>
      <c r="F323" s="291">
        <v>66</v>
      </c>
      <c r="G323" s="291">
        <v>907</v>
      </c>
      <c r="H323" s="287">
        <v>0.29074889867841403</v>
      </c>
      <c r="I323" s="211">
        <v>0.32304299889746402</v>
      </c>
      <c r="J323" s="211">
        <v>-0.50452661746053995</v>
      </c>
      <c r="K323" s="288">
        <v>-114.52754216354199</v>
      </c>
    </row>
    <row r="324" spans="2:11" x14ac:dyDescent="0.2">
      <c r="B324">
        <v>2</v>
      </c>
      <c r="C324">
        <v>587</v>
      </c>
      <c r="D324" s="308" t="s">
        <v>896</v>
      </c>
      <c r="E324" s="291">
        <v>4040</v>
      </c>
      <c r="F324" s="291">
        <v>1095</v>
      </c>
      <c r="G324" s="291">
        <v>594</v>
      </c>
      <c r="H324" s="287">
        <v>0.271039603960396</v>
      </c>
      <c r="I324" s="211">
        <v>8.6447811447811507</v>
      </c>
      <c r="J324" s="211">
        <v>-7.9636644124084999E-2</v>
      </c>
      <c r="K324" s="288">
        <v>-321.732042261304</v>
      </c>
    </row>
    <row r="325" spans="2:11" x14ac:dyDescent="0.2">
      <c r="B325">
        <v>2</v>
      </c>
      <c r="C325">
        <v>588</v>
      </c>
      <c r="D325" s="308" t="s">
        <v>897</v>
      </c>
      <c r="E325" s="291">
        <v>354</v>
      </c>
      <c r="F325" s="291">
        <v>32</v>
      </c>
      <c r="G325" s="291">
        <v>359</v>
      </c>
      <c r="H325" s="287">
        <v>9.03954802259887E-2</v>
      </c>
      <c r="I325" s="211">
        <v>1.0752089136490299</v>
      </c>
      <c r="J325" s="211">
        <v>-0.72050186093638102</v>
      </c>
      <c r="K325" s="288">
        <v>-255.057658771479</v>
      </c>
    </row>
    <row r="326" spans="2:11" x14ac:dyDescent="0.2">
      <c r="B326">
        <v>2</v>
      </c>
      <c r="C326">
        <v>589</v>
      </c>
      <c r="D326" s="308" t="s">
        <v>898</v>
      </c>
      <c r="E326" s="291">
        <v>457</v>
      </c>
      <c r="F326" s="291">
        <v>129</v>
      </c>
      <c r="G326" s="291">
        <v>1708</v>
      </c>
      <c r="H326" s="287">
        <v>0.28227571115973699</v>
      </c>
      <c r="I326" s="211">
        <v>0.34309133489461402</v>
      </c>
      <c r="J326" s="211">
        <v>-0.50550664203866202</v>
      </c>
      <c r="K326" s="288">
        <v>-231.016535411669</v>
      </c>
    </row>
    <row r="327" spans="2:11" x14ac:dyDescent="0.2">
      <c r="B327">
        <v>2</v>
      </c>
      <c r="C327">
        <v>590</v>
      </c>
      <c r="D327" s="308" t="s">
        <v>899</v>
      </c>
      <c r="E327" s="291">
        <v>2687</v>
      </c>
      <c r="F327" s="291">
        <v>711</v>
      </c>
      <c r="G327" s="291">
        <v>849</v>
      </c>
      <c r="H327" s="287">
        <v>0.264607368812802</v>
      </c>
      <c r="I327" s="211">
        <v>4.0023557126030598</v>
      </c>
      <c r="J327" s="211">
        <v>-0.30868449254062702</v>
      </c>
      <c r="K327" s="288">
        <v>-829.43523145666495</v>
      </c>
    </row>
    <row r="328" spans="2:11" x14ac:dyDescent="0.2">
      <c r="B328">
        <v>2</v>
      </c>
      <c r="C328">
        <v>591</v>
      </c>
      <c r="D328" s="308" t="s">
        <v>900</v>
      </c>
      <c r="E328" s="291">
        <v>98</v>
      </c>
      <c r="F328" s="291">
        <v>38</v>
      </c>
      <c r="G328" s="291">
        <v>1438</v>
      </c>
      <c r="H328" s="287">
        <v>0.38775510204081598</v>
      </c>
      <c r="I328" s="211">
        <v>9.4575799721835899E-2</v>
      </c>
      <c r="J328" s="211">
        <v>-0.39758470205908197</v>
      </c>
      <c r="K328" s="288">
        <v>-38.963300801789998</v>
      </c>
    </row>
    <row r="329" spans="2:11" x14ac:dyDescent="0.2">
      <c r="B329">
        <v>2</v>
      </c>
      <c r="C329">
        <v>592</v>
      </c>
      <c r="D329" s="308" t="s">
        <v>901</v>
      </c>
      <c r="E329" s="291">
        <v>582</v>
      </c>
      <c r="F329" s="291">
        <v>66</v>
      </c>
      <c r="G329" s="291">
        <v>470</v>
      </c>
      <c r="H329" s="287">
        <v>0.11340206185567001</v>
      </c>
      <c r="I329" s="211">
        <v>1.37872340425532</v>
      </c>
      <c r="J329" s="211">
        <v>-0.67220738250358703</v>
      </c>
      <c r="K329" s="288">
        <v>-391.224696617088</v>
      </c>
    </row>
    <row r="330" spans="2:11" x14ac:dyDescent="0.2">
      <c r="B330">
        <v>2</v>
      </c>
      <c r="C330">
        <v>593</v>
      </c>
      <c r="D330" s="308" t="s">
        <v>902</v>
      </c>
      <c r="E330" s="291">
        <v>5757</v>
      </c>
      <c r="F330" s="291">
        <v>2962</v>
      </c>
      <c r="G330" s="291">
        <v>1306</v>
      </c>
      <c r="H330" s="287">
        <v>0.51450408198714603</v>
      </c>
      <c r="I330" s="211">
        <v>6.6761102603369098</v>
      </c>
      <c r="J330" s="211">
        <v>0.215834108039857</v>
      </c>
      <c r="K330" s="288">
        <v>1242.55695998546</v>
      </c>
    </row>
    <row r="331" spans="2:11" x14ac:dyDescent="0.2">
      <c r="B331">
        <v>2</v>
      </c>
      <c r="C331">
        <v>594</v>
      </c>
      <c r="D331" s="308" t="s">
        <v>903</v>
      </c>
      <c r="E331" s="291">
        <v>2662</v>
      </c>
      <c r="F331" s="291">
        <v>1158</v>
      </c>
      <c r="G331" s="291">
        <v>1147</v>
      </c>
      <c r="H331" s="287">
        <v>0.43501126972201398</v>
      </c>
      <c r="I331" s="211">
        <v>3.3304272013949401</v>
      </c>
      <c r="J331" s="211">
        <v>-0.122996773522938</v>
      </c>
      <c r="K331" s="288">
        <v>-327.41741111805999</v>
      </c>
    </row>
    <row r="332" spans="2:11" x14ac:dyDescent="0.2">
      <c r="B332">
        <v>2</v>
      </c>
      <c r="C332">
        <v>602</v>
      </c>
      <c r="D332" s="308" t="s">
        <v>904</v>
      </c>
      <c r="E332" s="291">
        <v>917</v>
      </c>
      <c r="F332" s="291">
        <v>250</v>
      </c>
      <c r="G332" s="291">
        <v>1038</v>
      </c>
      <c r="H332" s="287">
        <v>0.272628135223555</v>
      </c>
      <c r="I332" s="211">
        <v>1.1242774566474001</v>
      </c>
      <c r="J332" s="211">
        <v>-0.47138348093547999</v>
      </c>
      <c r="K332" s="288">
        <v>-432.258652017835</v>
      </c>
    </row>
    <row r="333" spans="2:11" x14ac:dyDescent="0.2">
      <c r="B333">
        <v>2</v>
      </c>
      <c r="C333">
        <v>603</v>
      </c>
      <c r="D333" s="308" t="s">
        <v>905</v>
      </c>
      <c r="E333" s="291">
        <v>1749</v>
      </c>
      <c r="F333" s="291">
        <v>741</v>
      </c>
      <c r="G333" s="291">
        <v>356</v>
      </c>
      <c r="H333" s="287">
        <v>0.42367066895368799</v>
      </c>
      <c r="I333" s="211">
        <v>6.9943820224719104</v>
      </c>
      <c r="J333" s="211">
        <v>-3.8254744372570003E-2</v>
      </c>
      <c r="K333" s="288">
        <v>-66.907547907624902</v>
      </c>
    </row>
    <row r="334" spans="2:11" x14ac:dyDescent="0.2">
      <c r="B334">
        <v>2</v>
      </c>
      <c r="C334">
        <v>605</v>
      </c>
      <c r="D334" s="308" t="s">
        <v>906</v>
      </c>
      <c r="E334" s="291">
        <v>1388</v>
      </c>
      <c r="F334" s="291">
        <v>375</v>
      </c>
      <c r="G334" s="291">
        <v>1464</v>
      </c>
      <c r="H334" s="287">
        <v>0.27017291066282401</v>
      </c>
      <c r="I334" s="211">
        <v>1.2042349726776</v>
      </c>
      <c r="J334" s="211">
        <v>-0.45351198073511201</v>
      </c>
      <c r="K334" s="288">
        <v>-629.47462926033495</v>
      </c>
    </row>
    <row r="335" spans="2:11" x14ac:dyDescent="0.2">
      <c r="B335">
        <v>2</v>
      </c>
      <c r="C335">
        <v>606</v>
      </c>
      <c r="D335" s="308" t="s">
        <v>907</v>
      </c>
      <c r="E335" s="291">
        <v>495</v>
      </c>
      <c r="F335" s="291">
        <v>86</v>
      </c>
      <c r="G335" s="291">
        <v>219</v>
      </c>
      <c r="H335" s="287">
        <v>0.173737373737374</v>
      </c>
      <c r="I335" s="211">
        <v>2.6529680365296802</v>
      </c>
      <c r="J335" s="211">
        <v>-0.55427517503323298</v>
      </c>
      <c r="K335" s="288">
        <v>-274.36621164144998</v>
      </c>
    </row>
    <row r="336" spans="2:11" x14ac:dyDescent="0.2">
      <c r="B336">
        <v>2</v>
      </c>
      <c r="C336">
        <v>607</v>
      </c>
      <c r="D336" s="308" t="s">
        <v>908</v>
      </c>
      <c r="E336" s="291">
        <v>484</v>
      </c>
      <c r="F336" s="291">
        <v>55</v>
      </c>
      <c r="G336" s="291">
        <v>296</v>
      </c>
      <c r="H336" s="287">
        <v>0.11363636363636399</v>
      </c>
      <c r="I336" s="211">
        <v>1.8209459459459501</v>
      </c>
      <c r="J336" s="211">
        <v>-0.65952699230656397</v>
      </c>
      <c r="K336" s="288">
        <v>-319.21106427637699</v>
      </c>
    </row>
    <row r="337" spans="2:11" x14ac:dyDescent="0.2">
      <c r="B337">
        <v>2</v>
      </c>
      <c r="C337">
        <v>608</v>
      </c>
      <c r="D337" s="308" t="s">
        <v>909</v>
      </c>
      <c r="E337" s="291">
        <v>3517</v>
      </c>
      <c r="F337" s="291">
        <v>1558</v>
      </c>
      <c r="G337" s="291">
        <v>345</v>
      </c>
      <c r="H337" s="287">
        <v>0.44299118566960499</v>
      </c>
      <c r="I337" s="211">
        <v>14.7101449275362</v>
      </c>
      <c r="J337" s="211">
        <v>0.33475207635888699</v>
      </c>
      <c r="K337" s="288">
        <v>1177.3230525542101</v>
      </c>
    </row>
    <row r="338" spans="2:11" x14ac:dyDescent="0.2">
      <c r="B338">
        <v>2</v>
      </c>
      <c r="C338">
        <v>609</v>
      </c>
      <c r="D338" s="308" t="s">
        <v>910</v>
      </c>
      <c r="E338" s="291">
        <v>255</v>
      </c>
      <c r="F338" s="291">
        <v>83</v>
      </c>
      <c r="G338" s="291">
        <v>306</v>
      </c>
      <c r="H338" s="287">
        <v>0.32549019607843099</v>
      </c>
      <c r="I338" s="211">
        <v>1.10457516339869</v>
      </c>
      <c r="J338" s="211">
        <v>-0.43189222128882998</v>
      </c>
      <c r="K338" s="288">
        <v>-110.132516428652</v>
      </c>
    </row>
    <row r="339" spans="2:11" x14ac:dyDescent="0.2">
      <c r="B339">
        <v>2</v>
      </c>
      <c r="C339">
        <v>610</v>
      </c>
      <c r="D339" s="308" t="s">
        <v>911</v>
      </c>
      <c r="E339" s="291">
        <v>587</v>
      </c>
      <c r="F339" s="291">
        <v>165</v>
      </c>
      <c r="G339" s="291">
        <v>272</v>
      </c>
      <c r="H339" s="287">
        <v>0.281090289608177</v>
      </c>
      <c r="I339" s="211">
        <v>2.7647058823529398</v>
      </c>
      <c r="J339" s="211">
        <v>-0.41365524105351997</v>
      </c>
      <c r="K339" s="288">
        <v>-242.81562649841601</v>
      </c>
    </row>
    <row r="340" spans="2:11" x14ac:dyDescent="0.2">
      <c r="B340">
        <v>2</v>
      </c>
      <c r="C340">
        <v>611</v>
      </c>
      <c r="D340" s="308" t="s">
        <v>912</v>
      </c>
      <c r="E340" s="291">
        <v>937</v>
      </c>
      <c r="F340" s="291">
        <v>407</v>
      </c>
      <c r="G340" s="291">
        <v>455</v>
      </c>
      <c r="H340" s="287">
        <v>0.434364994663821</v>
      </c>
      <c r="I340" s="211">
        <v>2.95384615384615</v>
      </c>
      <c r="J340" s="211">
        <v>-0.203448585802353</v>
      </c>
      <c r="K340" s="288">
        <v>-190.63132489680399</v>
      </c>
    </row>
    <row r="341" spans="2:11" x14ac:dyDescent="0.2">
      <c r="B341">
        <v>2</v>
      </c>
      <c r="C341">
        <v>612</v>
      </c>
      <c r="D341" s="308" t="s">
        <v>913</v>
      </c>
      <c r="E341" s="291">
        <v>5280</v>
      </c>
      <c r="F341" s="291">
        <v>3027</v>
      </c>
      <c r="G341" s="291">
        <v>1270</v>
      </c>
      <c r="H341" s="287">
        <v>0.57329545454545405</v>
      </c>
      <c r="I341" s="211">
        <v>6.54094488188976</v>
      </c>
      <c r="J341" s="211">
        <v>0.265528815766568</v>
      </c>
      <c r="K341" s="288">
        <v>1401.99214724748</v>
      </c>
    </row>
    <row r="342" spans="2:11" x14ac:dyDescent="0.2">
      <c r="B342">
        <v>2</v>
      </c>
      <c r="C342">
        <v>613</v>
      </c>
      <c r="D342" s="308" t="s">
        <v>914</v>
      </c>
      <c r="E342" s="291">
        <v>624</v>
      </c>
      <c r="F342" s="291">
        <v>272</v>
      </c>
      <c r="G342" s="291">
        <v>1023</v>
      </c>
      <c r="H342" s="287">
        <v>0.43589743589743601</v>
      </c>
      <c r="I342" s="211">
        <v>0.87585532746823103</v>
      </c>
      <c r="J342" s="211">
        <v>-0.28932512364320501</v>
      </c>
      <c r="K342" s="288">
        <v>-180.53887715336</v>
      </c>
    </row>
    <row r="343" spans="2:11" x14ac:dyDescent="0.2">
      <c r="B343">
        <v>2</v>
      </c>
      <c r="C343">
        <v>614</v>
      </c>
      <c r="D343" s="308" t="s">
        <v>915</v>
      </c>
      <c r="E343" s="291">
        <v>1287</v>
      </c>
      <c r="F343" s="291">
        <v>563</v>
      </c>
      <c r="G343" s="291">
        <v>1319</v>
      </c>
      <c r="H343" s="287">
        <v>0.437451437451437</v>
      </c>
      <c r="I343" s="211">
        <v>1.4025777103866599</v>
      </c>
      <c r="J343" s="211">
        <v>-0.24284900852719099</v>
      </c>
      <c r="K343" s="288">
        <v>-312.54667397449498</v>
      </c>
    </row>
    <row r="344" spans="2:11" x14ac:dyDescent="0.2">
      <c r="B344">
        <v>2</v>
      </c>
      <c r="C344">
        <v>615</v>
      </c>
      <c r="D344" s="308" t="s">
        <v>916</v>
      </c>
      <c r="E344" s="291">
        <v>622</v>
      </c>
      <c r="F344" s="291">
        <v>141</v>
      </c>
      <c r="G344" s="291">
        <v>234</v>
      </c>
      <c r="H344" s="287">
        <v>0.22668810289389099</v>
      </c>
      <c r="I344" s="211">
        <v>3.2606837606837602</v>
      </c>
      <c r="J344" s="211">
        <v>-0.46163529473576898</v>
      </c>
      <c r="K344" s="288">
        <v>-287.137153325648</v>
      </c>
    </row>
    <row r="345" spans="2:11" x14ac:dyDescent="0.2">
      <c r="B345">
        <v>2</v>
      </c>
      <c r="C345">
        <v>616</v>
      </c>
      <c r="D345" s="308" t="s">
        <v>917</v>
      </c>
      <c r="E345" s="291">
        <v>12396</v>
      </c>
      <c r="F345" s="291">
        <v>6405</v>
      </c>
      <c r="G345" s="291">
        <v>1564</v>
      </c>
      <c r="H345" s="287">
        <v>0.51669893514036802</v>
      </c>
      <c r="I345" s="211">
        <v>12.0210997442455</v>
      </c>
      <c r="J345" s="211">
        <v>0.66723959344428396</v>
      </c>
      <c r="K345" s="288">
        <v>8271.1020003353497</v>
      </c>
    </row>
    <row r="346" spans="2:11" x14ac:dyDescent="0.2">
      <c r="B346">
        <v>2</v>
      </c>
      <c r="C346">
        <v>617</v>
      </c>
      <c r="D346" s="308" t="s">
        <v>918</v>
      </c>
      <c r="E346" s="291">
        <v>612</v>
      </c>
      <c r="F346" s="291">
        <v>134</v>
      </c>
      <c r="G346" s="291">
        <v>540</v>
      </c>
      <c r="H346" s="287">
        <v>0.21895424836601299</v>
      </c>
      <c r="I346" s="211">
        <v>1.38148148148148</v>
      </c>
      <c r="J346" s="211">
        <v>-0.54016398403550803</v>
      </c>
      <c r="K346" s="288">
        <v>-330.58035822973102</v>
      </c>
    </row>
    <row r="347" spans="2:11" x14ac:dyDescent="0.2">
      <c r="B347">
        <v>2</v>
      </c>
      <c r="C347">
        <v>619</v>
      </c>
      <c r="D347" s="308" t="s">
        <v>919</v>
      </c>
      <c r="E347" s="291">
        <v>3496</v>
      </c>
      <c r="F347" s="291">
        <v>1810</v>
      </c>
      <c r="G347" s="291">
        <v>1649</v>
      </c>
      <c r="H347" s="287">
        <v>0.51773455377574396</v>
      </c>
      <c r="I347" s="211">
        <v>3.2177077016373601</v>
      </c>
      <c r="J347" s="211">
        <v>7.2650579342506301E-3</v>
      </c>
      <c r="K347" s="288">
        <v>25.398642538140201</v>
      </c>
    </row>
    <row r="348" spans="2:11" x14ac:dyDescent="0.2">
      <c r="B348">
        <v>2</v>
      </c>
      <c r="C348">
        <v>620</v>
      </c>
      <c r="D348" s="308" t="s">
        <v>920</v>
      </c>
      <c r="E348" s="291">
        <v>727</v>
      </c>
      <c r="F348" s="291">
        <v>340</v>
      </c>
      <c r="G348" s="291">
        <v>1055</v>
      </c>
      <c r="H348" s="287">
        <v>0.46767537826685002</v>
      </c>
      <c r="I348" s="211">
        <v>1.0113744075829401</v>
      </c>
      <c r="J348" s="211">
        <v>-0.24106702002816</v>
      </c>
      <c r="K348" s="288">
        <v>-175.255723560473</v>
      </c>
    </row>
    <row r="349" spans="2:11" x14ac:dyDescent="0.2">
      <c r="B349">
        <v>2</v>
      </c>
      <c r="C349">
        <v>622</v>
      </c>
      <c r="D349" s="308" t="s">
        <v>921</v>
      </c>
      <c r="E349" s="291">
        <v>654</v>
      </c>
      <c r="F349" s="291">
        <v>204</v>
      </c>
      <c r="G349" s="291">
        <v>338</v>
      </c>
      <c r="H349" s="287">
        <v>0.31192660550458701</v>
      </c>
      <c r="I349" s="211">
        <v>2.5384615384615401</v>
      </c>
      <c r="J349" s="211">
        <v>-0.38113852059126602</v>
      </c>
      <c r="K349" s="288">
        <v>-249.26459246668799</v>
      </c>
    </row>
    <row r="350" spans="2:11" x14ac:dyDescent="0.2">
      <c r="B350">
        <v>2</v>
      </c>
      <c r="C350">
        <v>623</v>
      </c>
      <c r="D350" s="308" t="s">
        <v>922</v>
      </c>
      <c r="E350" s="291">
        <v>2994</v>
      </c>
      <c r="F350" s="291">
        <v>1185</v>
      </c>
      <c r="G350" s="291">
        <v>647</v>
      </c>
      <c r="H350" s="287">
        <v>0.39579158316633301</v>
      </c>
      <c r="I350" s="211">
        <v>6.4590417310664598</v>
      </c>
      <c r="J350" s="211">
        <v>-4.4762718435171198E-2</v>
      </c>
      <c r="K350" s="288">
        <v>-134.01957899490299</v>
      </c>
    </row>
    <row r="351" spans="2:11" x14ac:dyDescent="0.2">
      <c r="B351">
        <v>2</v>
      </c>
      <c r="C351">
        <v>624</v>
      </c>
      <c r="D351" s="308" t="s">
        <v>923</v>
      </c>
      <c r="E351" s="291">
        <v>632</v>
      </c>
      <c r="F351" s="291">
        <v>149</v>
      </c>
      <c r="G351" s="291">
        <v>350</v>
      </c>
      <c r="H351" s="287">
        <v>0.235759493670886</v>
      </c>
      <c r="I351" s="211">
        <v>2.23142857142857</v>
      </c>
      <c r="J351" s="211">
        <v>-0.48756484380898701</v>
      </c>
      <c r="K351" s="288">
        <v>-308.14098128728</v>
      </c>
    </row>
    <row r="352" spans="2:11" x14ac:dyDescent="0.2">
      <c r="B352">
        <v>2</v>
      </c>
      <c r="C352">
        <v>626</v>
      </c>
      <c r="D352" s="308" t="s">
        <v>924</v>
      </c>
      <c r="E352" s="291">
        <v>1799</v>
      </c>
      <c r="F352" s="291">
        <v>920</v>
      </c>
      <c r="G352" s="291">
        <v>1718</v>
      </c>
      <c r="H352" s="287">
        <v>0.51139521956642597</v>
      </c>
      <c r="I352" s="211">
        <v>1.58265424912689</v>
      </c>
      <c r="J352" s="211">
        <v>-0.125087146974068</v>
      </c>
      <c r="K352" s="288">
        <v>-225.031777406348</v>
      </c>
    </row>
    <row r="353" spans="2:11" x14ac:dyDescent="0.2">
      <c r="B353">
        <v>2</v>
      </c>
      <c r="C353">
        <v>627</v>
      </c>
      <c r="D353" s="308" t="s">
        <v>925</v>
      </c>
      <c r="E353" s="291">
        <v>11473</v>
      </c>
      <c r="F353" s="291">
        <v>3935</v>
      </c>
      <c r="G353" s="291">
        <v>2086</v>
      </c>
      <c r="H353" s="287">
        <v>0.34297916848252402</v>
      </c>
      <c r="I353" s="211">
        <v>7.38638542665388</v>
      </c>
      <c r="J353" s="211">
        <v>0.24760644688396799</v>
      </c>
      <c r="K353" s="288">
        <v>2840.78876509977</v>
      </c>
    </row>
    <row r="354" spans="2:11" x14ac:dyDescent="0.2">
      <c r="B354">
        <v>2</v>
      </c>
      <c r="C354">
        <v>628</v>
      </c>
      <c r="D354" s="308" t="s">
        <v>926</v>
      </c>
      <c r="E354" s="291">
        <v>1637</v>
      </c>
      <c r="F354" s="291">
        <v>415</v>
      </c>
      <c r="G354" s="291">
        <v>538</v>
      </c>
      <c r="H354" s="287">
        <v>0.253512522907758</v>
      </c>
      <c r="I354" s="211">
        <v>3.8141263940520398</v>
      </c>
      <c r="J354" s="211">
        <v>-0.36942035596955602</v>
      </c>
      <c r="K354" s="288">
        <v>-604.74112272216303</v>
      </c>
    </row>
    <row r="355" spans="2:11" x14ac:dyDescent="0.2">
      <c r="B355">
        <v>2</v>
      </c>
      <c r="C355">
        <v>629</v>
      </c>
      <c r="D355" s="308" t="s">
        <v>927</v>
      </c>
      <c r="E355" s="291">
        <v>318</v>
      </c>
      <c r="F355" s="291">
        <v>71</v>
      </c>
      <c r="G355" s="291">
        <v>599</v>
      </c>
      <c r="H355" s="287">
        <v>0.223270440251572</v>
      </c>
      <c r="I355" s="211">
        <v>0.64941569282136902</v>
      </c>
      <c r="J355" s="211">
        <v>-0.57275866778656903</v>
      </c>
      <c r="K355" s="288">
        <v>-182.137256356129</v>
      </c>
    </row>
    <row r="356" spans="2:11" x14ac:dyDescent="0.2">
      <c r="B356">
        <v>2</v>
      </c>
      <c r="C356">
        <v>630</v>
      </c>
      <c r="D356" s="308" t="s">
        <v>928</v>
      </c>
      <c r="E356" s="291">
        <v>577</v>
      </c>
      <c r="F356" s="291">
        <v>200</v>
      </c>
      <c r="G356" s="291">
        <v>364</v>
      </c>
      <c r="H356" s="287">
        <v>0.34662045060658597</v>
      </c>
      <c r="I356" s="211">
        <v>2.1346153846153801</v>
      </c>
      <c r="J356" s="211">
        <v>-0.355823690186931</v>
      </c>
      <c r="K356" s="288">
        <v>-205.31026923785899</v>
      </c>
    </row>
    <row r="357" spans="2:11" x14ac:dyDescent="0.2">
      <c r="B357">
        <v>2</v>
      </c>
      <c r="C357">
        <v>632</v>
      </c>
      <c r="D357" s="308" t="s">
        <v>929</v>
      </c>
      <c r="E357" s="291">
        <v>4233</v>
      </c>
      <c r="F357" s="291">
        <v>1153</v>
      </c>
      <c r="G357" s="291">
        <v>1145</v>
      </c>
      <c r="H357" s="287">
        <v>0.27238365225608302</v>
      </c>
      <c r="I357" s="211">
        <v>4.7039301310043697</v>
      </c>
      <c r="J357" s="211">
        <v>-0.21437947495193299</v>
      </c>
      <c r="K357" s="288">
        <v>-907.46831747153396</v>
      </c>
    </row>
    <row r="358" spans="2:11" x14ac:dyDescent="0.2">
      <c r="B358">
        <v>2</v>
      </c>
      <c r="C358">
        <v>661</v>
      </c>
      <c r="D358" s="308" t="s">
        <v>930</v>
      </c>
      <c r="E358" s="291">
        <v>49</v>
      </c>
      <c r="F358" s="291">
        <v>21</v>
      </c>
      <c r="G358" s="291">
        <v>100</v>
      </c>
      <c r="H358" s="287">
        <v>0.42857142857142899</v>
      </c>
      <c r="I358" s="211">
        <v>0.7</v>
      </c>
      <c r="J358" s="211">
        <v>-0.32678981181434602</v>
      </c>
      <c r="K358" s="288">
        <v>-16.0127007789029</v>
      </c>
    </row>
    <row r="359" spans="2:11" x14ac:dyDescent="0.2">
      <c r="B359">
        <v>2</v>
      </c>
      <c r="C359">
        <v>662</v>
      </c>
      <c r="D359" s="308" t="s">
        <v>931</v>
      </c>
      <c r="E359" s="291">
        <v>1262</v>
      </c>
      <c r="F359" s="291">
        <v>355</v>
      </c>
      <c r="G359" s="291">
        <v>901</v>
      </c>
      <c r="H359" s="287">
        <v>0.281299524564184</v>
      </c>
      <c r="I359" s="211">
        <v>1.7946725860155399</v>
      </c>
      <c r="J359" s="211">
        <v>-0.42299643581442797</v>
      </c>
      <c r="K359" s="288">
        <v>-533.82150199780801</v>
      </c>
    </row>
    <row r="360" spans="2:11" x14ac:dyDescent="0.2">
      <c r="B360">
        <v>2</v>
      </c>
      <c r="C360">
        <v>663</v>
      </c>
      <c r="D360" s="308" t="s">
        <v>932</v>
      </c>
      <c r="E360" s="291">
        <v>1218</v>
      </c>
      <c r="F360" s="291">
        <v>526</v>
      </c>
      <c r="G360" s="291">
        <v>834</v>
      </c>
      <c r="H360" s="287">
        <v>0.43185550082101798</v>
      </c>
      <c r="I360" s="211">
        <v>2.0911270983213401</v>
      </c>
      <c r="J360" s="211">
        <v>-0.22729788078958299</v>
      </c>
      <c r="K360" s="288">
        <v>-276.84881880171201</v>
      </c>
    </row>
    <row r="361" spans="2:11" x14ac:dyDescent="0.2">
      <c r="B361">
        <v>2</v>
      </c>
      <c r="C361">
        <v>664</v>
      </c>
      <c r="D361" s="308" t="s">
        <v>933</v>
      </c>
      <c r="E361" s="291">
        <v>309</v>
      </c>
      <c r="F361" s="291">
        <v>188</v>
      </c>
      <c r="G361" s="291">
        <v>223</v>
      </c>
      <c r="H361" s="287">
        <v>0.60841423948220097</v>
      </c>
      <c r="I361" s="211">
        <v>2.2286995515695098</v>
      </c>
      <c r="J361" s="211">
        <v>-3.82256703432085E-2</v>
      </c>
      <c r="K361" s="288">
        <v>-11.8117321360514</v>
      </c>
    </row>
    <row r="362" spans="2:11" x14ac:dyDescent="0.2">
      <c r="B362">
        <v>2</v>
      </c>
      <c r="C362">
        <v>665</v>
      </c>
      <c r="D362" s="308" t="s">
        <v>934</v>
      </c>
      <c r="E362" s="291">
        <v>247</v>
      </c>
      <c r="F362" s="291">
        <v>147</v>
      </c>
      <c r="G362" s="291">
        <v>187</v>
      </c>
      <c r="H362" s="287">
        <v>0.59514170040485803</v>
      </c>
      <c r="I362" s="211">
        <v>2.10695187165775</v>
      </c>
      <c r="J362" s="211">
        <v>-6.1483501034672199E-2</v>
      </c>
      <c r="K362" s="288">
        <v>-15.186424755564</v>
      </c>
    </row>
    <row r="363" spans="2:11" x14ac:dyDescent="0.2">
      <c r="B363">
        <v>2</v>
      </c>
      <c r="C363">
        <v>666</v>
      </c>
      <c r="D363" s="308" t="s">
        <v>935</v>
      </c>
      <c r="E363" s="291">
        <v>421</v>
      </c>
      <c r="F363" s="291">
        <v>115</v>
      </c>
      <c r="G363" s="291">
        <v>477</v>
      </c>
      <c r="H363" s="287">
        <v>0.27315914489311199</v>
      </c>
      <c r="I363" s="211">
        <v>1.12368972746331</v>
      </c>
      <c r="J363" s="211">
        <v>-0.48969881308205798</v>
      </c>
      <c r="K363" s="288">
        <v>-206.16320030754599</v>
      </c>
    </row>
    <row r="364" spans="2:11" x14ac:dyDescent="0.2">
      <c r="B364">
        <v>2</v>
      </c>
      <c r="C364">
        <v>667</v>
      </c>
      <c r="D364" s="308" t="s">
        <v>936</v>
      </c>
      <c r="E364" s="291">
        <v>3125</v>
      </c>
      <c r="F364" s="291">
        <v>1323</v>
      </c>
      <c r="G364" s="291">
        <v>388</v>
      </c>
      <c r="H364" s="287">
        <v>0.42336000000000001</v>
      </c>
      <c r="I364" s="211">
        <v>11.4639175257732</v>
      </c>
      <c r="J364" s="211">
        <v>0.177008432419441</v>
      </c>
      <c r="K364" s="288">
        <v>553.15135131075294</v>
      </c>
    </row>
    <row r="365" spans="2:11" x14ac:dyDescent="0.2">
      <c r="B365">
        <v>2</v>
      </c>
      <c r="C365">
        <v>668</v>
      </c>
      <c r="D365" s="308" t="s">
        <v>937</v>
      </c>
      <c r="E365" s="291">
        <v>2843</v>
      </c>
      <c r="F365" s="291">
        <v>1331</v>
      </c>
      <c r="G365" s="291">
        <v>2512</v>
      </c>
      <c r="H365" s="287">
        <v>0.46816742877242401</v>
      </c>
      <c r="I365" s="211">
        <v>1.66162420382166</v>
      </c>
      <c r="J365" s="211">
        <v>-0.13588155446570199</v>
      </c>
      <c r="K365" s="288">
        <v>-386.31125934598998</v>
      </c>
    </row>
    <row r="366" spans="2:11" x14ac:dyDescent="0.2">
      <c r="B366">
        <v>2</v>
      </c>
      <c r="C366">
        <v>669</v>
      </c>
      <c r="D366" s="308" t="s">
        <v>938</v>
      </c>
      <c r="E366" s="291">
        <v>495</v>
      </c>
      <c r="F366" s="291">
        <v>187</v>
      </c>
      <c r="G366" s="291">
        <v>247</v>
      </c>
      <c r="H366" s="287">
        <v>0.37777777777777799</v>
      </c>
      <c r="I366" s="211">
        <v>2.76113360323887</v>
      </c>
      <c r="J366" s="211">
        <v>-0.297489178585294</v>
      </c>
      <c r="K366" s="288">
        <v>-147.257143399721</v>
      </c>
    </row>
    <row r="367" spans="2:11" x14ac:dyDescent="0.2">
      <c r="B367">
        <v>2</v>
      </c>
      <c r="C367">
        <v>670</v>
      </c>
      <c r="D367" s="308" t="s">
        <v>939</v>
      </c>
      <c r="E367" s="291">
        <v>5436</v>
      </c>
      <c r="F367" s="291">
        <v>1779</v>
      </c>
      <c r="G367" s="291">
        <v>2178</v>
      </c>
      <c r="H367" s="287">
        <v>0.32726269315673301</v>
      </c>
      <c r="I367" s="211">
        <v>3.3126721763085398</v>
      </c>
      <c r="J367" s="211">
        <v>-0.15116967403255099</v>
      </c>
      <c r="K367" s="288">
        <v>-821.75834804094904</v>
      </c>
    </row>
    <row r="368" spans="2:11" x14ac:dyDescent="0.2">
      <c r="B368">
        <v>2</v>
      </c>
      <c r="C368">
        <v>671</v>
      </c>
      <c r="D368" s="308" t="s">
        <v>940</v>
      </c>
      <c r="E368" s="291">
        <v>372</v>
      </c>
      <c r="F368" s="291">
        <v>83</v>
      </c>
      <c r="G368" s="291">
        <v>400</v>
      </c>
      <c r="H368" s="287">
        <v>0.223118279569892</v>
      </c>
      <c r="I368" s="211">
        <v>1.1375</v>
      </c>
      <c r="J368" s="211">
        <v>-0.55307605276392502</v>
      </c>
      <c r="K368" s="288">
        <v>-205.74429162818001</v>
      </c>
    </row>
    <row r="369" spans="2:11" x14ac:dyDescent="0.2">
      <c r="B369">
        <v>2</v>
      </c>
      <c r="C369">
        <v>681</v>
      </c>
      <c r="D369" s="308" t="s">
        <v>941</v>
      </c>
      <c r="E369" s="291">
        <v>302</v>
      </c>
      <c r="F369" s="291">
        <v>96</v>
      </c>
      <c r="G369" s="291">
        <v>381</v>
      </c>
      <c r="H369" s="287">
        <v>0.31788079470198699</v>
      </c>
      <c r="I369" s="211">
        <v>1.0446194225721801</v>
      </c>
      <c r="J369" s="211">
        <v>-0.441713171064678</v>
      </c>
      <c r="K369" s="288">
        <v>-133.397377661533</v>
      </c>
    </row>
    <row r="370" spans="2:11" x14ac:dyDescent="0.2">
      <c r="B370">
        <v>2</v>
      </c>
      <c r="C370">
        <v>683</v>
      </c>
      <c r="D370" s="308" t="s">
        <v>942</v>
      </c>
      <c r="E370" s="291">
        <v>159</v>
      </c>
      <c r="F370" s="291">
        <v>45</v>
      </c>
      <c r="G370" s="291">
        <v>714</v>
      </c>
      <c r="H370" s="287">
        <v>0.28301886792452802</v>
      </c>
      <c r="I370" s="211">
        <v>0.28571428571428598</v>
      </c>
      <c r="J370" s="211">
        <v>-0.51806558409939696</v>
      </c>
      <c r="K370" s="288">
        <v>-82.372427871804106</v>
      </c>
    </row>
    <row r="371" spans="2:11" x14ac:dyDescent="0.2">
      <c r="B371">
        <v>2</v>
      </c>
      <c r="C371">
        <v>687</v>
      </c>
      <c r="D371" s="308" t="s">
        <v>943</v>
      </c>
      <c r="E371" s="291">
        <v>203</v>
      </c>
      <c r="F371" s="291">
        <v>65</v>
      </c>
      <c r="G371" s="291">
        <v>679</v>
      </c>
      <c r="H371" s="287">
        <v>0.32019704433497498</v>
      </c>
      <c r="I371" s="211">
        <v>0.394698085419735</v>
      </c>
      <c r="J371" s="211">
        <v>-0.46633820789567199</v>
      </c>
      <c r="K371" s="288">
        <v>-94.6666562028215</v>
      </c>
    </row>
    <row r="372" spans="2:11" x14ac:dyDescent="0.2">
      <c r="B372">
        <v>2</v>
      </c>
      <c r="C372">
        <v>690</v>
      </c>
      <c r="D372" s="308" t="s">
        <v>944</v>
      </c>
      <c r="E372" s="291">
        <v>1408</v>
      </c>
      <c r="F372" s="291">
        <v>704</v>
      </c>
      <c r="G372" s="291">
        <v>2449</v>
      </c>
      <c r="H372" s="287">
        <v>0.5</v>
      </c>
      <c r="I372" s="211">
        <v>0.86239281339322205</v>
      </c>
      <c r="J372" s="211">
        <v>-0.180426482838313</v>
      </c>
      <c r="K372" s="288">
        <v>-254.04048783634499</v>
      </c>
    </row>
    <row r="373" spans="2:11" x14ac:dyDescent="0.2">
      <c r="B373">
        <v>2</v>
      </c>
      <c r="C373">
        <v>691</v>
      </c>
      <c r="D373" s="308" t="s">
        <v>945</v>
      </c>
      <c r="E373" s="291">
        <v>532</v>
      </c>
      <c r="F373" s="291">
        <v>236</v>
      </c>
      <c r="G373" s="291">
        <v>944</v>
      </c>
      <c r="H373" s="287">
        <v>0.44360902255639101</v>
      </c>
      <c r="I373" s="211">
        <v>0.81355932203389802</v>
      </c>
      <c r="J373" s="211">
        <v>-0.28555735561169099</v>
      </c>
      <c r="K373" s="288">
        <v>-151.91651318541901</v>
      </c>
    </row>
    <row r="374" spans="2:11" x14ac:dyDescent="0.2">
      <c r="B374">
        <v>2</v>
      </c>
      <c r="C374">
        <v>692</v>
      </c>
      <c r="D374" s="308" t="s">
        <v>946</v>
      </c>
      <c r="E374" s="291">
        <v>389</v>
      </c>
      <c r="F374" s="291">
        <v>122</v>
      </c>
      <c r="G374" s="291">
        <v>656</v>
      </c>
      <c r="H374" s="287">
        <v>0.31362467866323901</v>
      </c>
      <c r="I374" s="211">
        <v>0.77896341463414598</v>
      </c>
      <c r="J374" s="211">
        <v>-0.45335548738753401</v>
      </c>
      <c r="K374" s="288">
        <v>-176.35528459375101</v>
      </c>
    </row>
    <row r="375" spans="2:11" x14ac:dyDescent="0.2">
      <c r="B375">
        <v>2</v>
      </c>
      <c r="C375">
        <v>694</v>
      </c>
      <c r="D375" s="308" t="s">
        <v>947</v>
      </c>
      <c r="E375" s="291">
        <v>387</v>
      </c>
      <c r="F375" s="291">
        <v>100</v>
      </c>
      <c r="G375" s="291">
        <v>816</v>
      </c>
      <c r="H375" s="287">
        <v>0.258397932816537</v>
      </c>
      <c r="I375" s="211">
        <v>0.59681372549019596</v>
      </c>
      <c r="J375" s="211">
        <v>-0.52851267849244299</v>
      </c>
      <c r="K375" s="288">
        <v>-204.534406576576</v>
      </c>
    </row>
    <row r="376" spans="2:11" x14ac:dyDescent="0.2">
      <c r="B376">
        <v>2</v>
      </c>
      <c r="C376">
        <v>696</v>
      </c>
      <c r="D376" s="308" t="s">
        <v>948</v>
      </c>
      <c r="E376" s="291">
        <v>326</v>
      </c>
      <c r="F376" s="291">
        <v>205</v>
      </c>
      <c r="G376" s="291">
        <v>466</v>
      </c>
      <c r="H376" s="287">
        <v>0.628834355828221</v>
      </c>
      <c r="I376" s="211">
        <v>1.1394849785407699</v>
      </c>
      <c r="J376" s="211">
        <v>-5.2012449643063799E-2</v>
      </c>
      <c r="K376" s="288">
        <v>-16.9560585836388</v>
      </c>
    </row>
    <row r="377" spans="2:11" x14ac:dyDescent="0.2">
      <c r="B377">
        <v>2</v>
      </c>
      <c r="C377">
        <v>700</v>
      </c>
      <c r="D377" s="308" t="s">
        <v>949</v>
      </c>
      <c r="E377" s="291">
        <v>7586</v>
      </c>
      <c r="F377" s="291">
        <v>3885</v>
      </c>
      <c r="G377" s="291">
        <v>1943</v>
      </c>
      <c r="H377" s="287">
        <v>0.51212760348009501</v>
      </c>
      <c r="I377" s="211">
        <v>5.9037570766855403</v>
      </c>
      <c r="J377" s="211">
        <v>0.25459491698495801</v>
      </c>
      <c r="K377" s="288">
        <v>1931.3570402478899</v>
      </c>
    </row>
    <row r="378" spans="2:11" x14ac:dyDescent="0.2">
      <c r="B378">
        <v>2</v>
      </c>
      <c r="C378">
        <v>701</v>
      </c>
      <c r="D378" s="308" t="s">
        <v>950</v>
      </c>
      <c r="E378" s="291">
        <v>450</v>
      </c>
      <c r="F378" s="291">
        <v>89</v>
      </c>
      <c r="G378" s="291">
        <v>859</v>
      </c>
      <c r="H378" s="287">
        <v>0.197777777777778</v>
      </c>
      <c r="I378" s="211">
        <v>0.62747380675203701</v>
      </c>
      <c r="J378" s="211">
        <v>-0.600105165411431</v>
      </c>
      <c r="K378" s="288">
        <v>-270.04732443514399</v>
      </c>
    </row>
    <row r="379" spans="2:11" x14ac:dyDescent="0.2">
      <c r="B379">
        <v>2</v>
      </c>
      <c r="C379">
        <v>703</v>
      </c>
      <c r="D379" s="308" t="s">
        <v>951</v>
      </c>
      <c r="E379" s="291">
        <v>2347</v>
      </c>
      <c r="F379" s="291">
        <v>844</v>
      </c>
      <c r="G379" s="291">
        <v>821</v>
      </c>
      <c r="H379" s="287">
        <v>0.35960801022582001</v>
      </c>
      <c r="I379" s="211">
        <v>3.88672350791717</v>
      </c>
      <c r="J379" s="211">
        <v>-0.20817318782820399</v>
      </c>
      <c r="K379" s="288">
        <v>-488.58247183279599</v>
      </c>
    </row>
    <row r="380" spans="2:11" x14ac:dyDescent="0.2">
      <c r="B380">
        <v>2</v>
      </c>
      <c r="C380">
        <v>704</v>
      </c>
      <c r="D380" s="308" t="s">
        <v>952</v>
      </c>
      <c r="E380" s="291">
        <v>210</v>
      </c>
      <c r="F380" s="291">
        <v>59</v>
      </c>
      <c r="G380" s="291">
        <v>891</v>
      </c>
      <c r="H380" s="287">
        <v>0.28095238095238101</v>
      </c>
      <c r="I380" s="211">
        <v>0.30190796857463498</v>
      </c>
      <c r="J380" s="211">
        <v>-0.51808678789531104</v>
      </c>
      <c r="K380" s="288">
        <v>-108.798225458015</v>
      </c>
    </row>
    <row r="381" spans="2:11" x14ac:dyDescent="0.2">
      <c r="B381">
        <v>2</v>
      </c>
      <c r="C381">
        <v>706</v>
      </c>
      <c r="D381" s="308" t="s">
        <v>953</v>
      </c>
      <c r="E381" s="291">
        <v>616</v>
      </c>
      <c r="F381" s="291">
        <v>366</v>
      </c>
      <c r="G381" s="291">
        <v>1362</v>
      </c>
      <c r="H381" s="287">
        <v>0.59415584415584399</v>
      </c>
      <c r="I381" s="211">
        <v>0.72099853157121896</v>
      </c>
      <c r="J381" s="211">
        <v>-9.9172635465639106E-2</v>
      </c>
      <c r="K381" s="288">
        <v>-61.0903434468337</v>
      </c>
    </row>
    <row r="382" spans="2:11" x14ac:dyDescent="0.2">
      <c r="B382">
        <v>2</v>
      </c>
      <c r="C382">
        <v>707</v>
      </c>
      <c r="D382" s="308" t="s">
        <v>954</v>
      </c>
      <c r="E382" s="291">
        <v>157</v>
      </c>
      <c r="F382" s="291">
        <v>26</v>
      </c>
      <c r="G382" s="291">
        <v>426</v>
      </c>
      <c r="H382" s="287">
        <v>0.16560509554140099</v>
      </c>
      <c r="I382" s="211">
        <v>0.42957746478873199</v>
      </c>
      <c r="J382" s="211">
        <v>-0.65838806287389195</v>
      </c>
      <c r="K382" s="288">
        <v>-103.366925871201</v>
      </c>
    </row>
    <row r="383" spans="2:11" x14ac:dyDescent="0.2">
      <c r="B383">
        <v>2</v>
      </c>
      <c r="C383">
        <v>708</v>
      </c>
      <c r="D383" s="308" t="s">
        <v>955</v>
      </c>
      <c r="E383" s="291">
        <v>37</v>
      </c>
      <c r="F383" s="291">
        <v>28</v>
      </c>
      <c r="G383" s="291">
        <v>552</v>
      </c>
      <c r="H383" s="287">
        <v>0.75675675675675702</v>
      </c>
      <c r="I383" s="211">
        <v>0.117753623188406</v>
      </c>
      <c r="J383" s="211">
        <v>5.81837893726454E-2</v>
      </c>
      <c r="K383" s="288">
        <v>2.1528002067878802</v>
      </c>
    </row>
    <row r="384" spans="2:11" x14ac:dyDescent="0.2">
      <c r="B384">
        <v>2</v>
      </c>
      <c r="C384">
        <v>709</v>
      </c>
      <c r="D384" s="308" t="s">
        <v>956</v>
      </c>
      <c r="E384" s="291">
        <v>65</v>
      </c>
      <c r="F384" s="291">
        <v>40</v>
      </c>
      <c r="G384" s="291">
        <v>832</v>
      </c>
      <c r="H384" s="287">
        <v>0.61538461538461497</v>
      </c>
      <c r="I384" s="211">
        <v>0.12620192307692299</v>
      </c>
      <c r="J384" s="211">
        <v>-0.115621396787667</v>
      </c>
      <c r="K384" s="288">
        <v>-7.5153907911983797</v>
      </c>
    </row>
    <row r="385" spans="2:11" x14ac:dyDescent="0.2">
      <c r="B385">
        <v>2</v>
      </c>
      <c r="C385">
        <v>711</v>
      </c>
      <c r="D385" s="308" t="s">
        <v>957</v>
      </c>
      <c r="E385" s="291">
        <v>285</v>
      </c>
      <c r="F385" s="291">
        <v>72</v>
      </c>
      <c r="G385" s="291">
        <v>683</v>
      </c>
      <c r="H385" s="287">
        <v>0.25263157894736799</v>
      </c>
      <c r="I385" s="211">
        <v>0.52269399707174202</v>
      </c>
      <c r="J385" s="211">
        <v>-0.54225977681098303</v>
      </c>
      <c r="K385" s="288">
        <v>-154.54403639112999</v>
      </c>
    </row>
    <row r="386" spans="2:11" x14ac:dyDescent="0.2">
      <c r="B386">
        <v>2</v>
      </c>
      <c r="C386">
        <v>713</v>
      </c>
      <c r="D386" s="308" t="s">
        <v>958</v>
      </c>
      <c r="E386" s="291">
        <v>3597</v>
      </c>
      <c r="F386" s="291">
        <v>1480</v>
      </c>
      <c r="G386" s="291">
        <v>1476</v>
      </c>
      <c r="H386" s="287">
        <v>0.41145398943564099</v>
      </c>
      <c r="I386" s="211">
        <v>3.4397018970189701</v>
      </c>
      <c r="J386" s="211">
        <v>-0.112475347108395</v>
      </c>
      <c r="K386" s="288">
        <v>-404.57382354889597</v>
      </c>
    </row>
    <row r="387" spans="2:11" x14ac:dyDescent="0.2">
      <c r="B387">
        <v>2</v>
      </c>
      <c r="C387">
        <v>715</v>
      </c>
      <c r="D387" s="308" t="s">
        <v>959</v>
      </c>
      <c r="E387" s="291">
        <v>43</v>
      </c>
      <c r="F387" s="291">
        <v>24</v>
      </c>
      <c r="G387" s="291">
        <v>354</v>
      </c>
      <c r="H387" s="287">
        <v>0.55813953488372103</v>
      </c>
      <c r="I387" s="211">
        <v>0.18926553672316401</v>
      </c>
      <c r="J387" s="211">
        <v>-0.185097167743109</v>
      </c>
      <c r="K387" s="288">
        <v>-7.9591782129536703</v>
      </c>
    </row>
    <row r="388" spans="2:11" x14ac:dyDescent="0.2">
      <c r="B388">
        <v>2</v>
      </c>
      <c r="C388">
        <v>716</v>
      </c>
      <c r="D388" s="308" t="s">
        <v>960</v>
      </c>
      <c r="E388" s="291">
        <v>410</v>
      </c>
      <c r="F388" s="291">
        <v>176</v>
      </c>
      <c r="G388" s="291">
        <v>2374</v>
      </c>
      <c r="H388" s="287">
        <v>0.42926829268292699</v>
      </c>
      <c r="I388" s="211">
        <v>0.246840775063184</v>
      </c>
      <c r="J388" s="211">
        <v>-0.32866627126640302</v>
      </c>
      <c r="K388" s="288">
        <v>-134.75317121922501</v>
      </c>
    </row>
    <row r="389" spans="2:11" x14ac:dyDescent="0.2">
      <c r="B389">
        <v>2</v>
      </c>
      <c r="C389">
        <v>717</v>
      </c>
      <c r="D389" s="308" t="s">
        <v>961</v>
      </c>
      <c r="E389" s="291">
        <v>4032</v>
      </c>
      <c r="F389" s="291">
        <v>1772</v>
      </c>
      <c r="G389" s="291">
        <v>1870</v>
      </c>
      <c r="H389" s="287">
        <v>0.43948412698412698</v>
      </c>
      <c r="I389" s="211">
        <v>3.1037433155080199</v>
      </c>
      <c r="J389" s="211">
        <v>-7.3377803863752394E-2</v>
      </c>
      <c r="K389" s="288">
        <v>-295.85930517865</v>
      </c>
    </row>
    <row r="390" spans="2:11" x14ac:dyDescent="0.2">
      <c r="B390">
        <v>2</v>
      </c>
      <c r="C390">
        <v>723</v>
      </c>
      <c r="D390" s="308" t="s">
        <v>962</v>
      </c>
      <c r="E390" s="291">
        <v>3693</v>
      </c>
      <c r="F390" s="291">
        <v>1541</v>
      </c>
      <c r="G390" s="291">
        <v>678</v>
      </c>
      <c r="H390" s="287">
        <v>0.41727592743027297</v>
      </c>
      <c r="I390" s="211">
        <v>7.71976401179941</v>
      </c>
      <c r="J390" s="211">
        <v>5.4566040076685897E-2</v>
      </c>
      <c r="K390" s="288">
        <v>201.51238600320099</v>
      </c>
    </row>
    <row r="391" spans="2:11" x14ac:dyDescent="0.2">
      <c r="B391">
        <v>2</v>
      </c>
      <c r="C391">
        <v>724</v>
      </c>
      <c r="D391" s="308" t="s">
        <v>963</v>
      </c>
      <c r="E391" s="291">
        <v>740</v>
      </c>
      <c r="F391" s="291">
        <v>151</v>
      </c>
      <c r="G391" s="291">
        <v>2651</v>
      </c>
      <c r="H391" s="287">
        <v>0.204054054054054</v>
      </c>
      <c r="I391" s="211">
        <v>0.33609958506224102</v>
      </c>
      <c r="J391" s="211">
        <v>-0.59187793075224704</v>
      </c>
      <c r="K391" s="288">
        <v>-437.98966875666298</v>
      </c>
    </row>
    <row r="392" spans="2:11" x14ac:dyDescent="0.2">
      <c r="B392">
        <v>2</v>
      </c>
      <c r="C392">
        <v>726</v>
      </c>
      <c r="D392" s="308" t="s">
        <v>964</v>
      </c>
      <c r="E392" s="291">
        <v>2050</v>
      </c>
      <c r="F392" s="291">
        <v>475</v>
      </c>
      <c r="G392" s="291">
        <v>2559</v>
      </c>
      <c r="H392" s="287">
        <v>0.23170731707317099</v>
      </c>
      <c r="I392" s="211">
        <v>0.98671355998436905</v>
      </c>
      <c r="J392" s="211">
        <v>-0.48381880968376001</v>
      </c>
      <c r="K392" s="288">
        <v>-991.82855985170704</v>
      </c>
    </row>
    <row r="393" spans="2:11" x14ac:dyDescent="0.2">
      <c r="B393">
        <v>2</v>
      </c>
      <c r="C393">
        <v>731</v>
      </c>
      <c r="D393" s="308" t="s">
        <v>965</v>
      </c>
      <c r="E393" s="291">
        <v>2011</v>
      </c>
      <c r="F393" s="291">
        <v>349</v>
      </c>
      <c r="G393" s="291">
        <v>205</v>
      </c>
      <c r="H393" s="287">
        <v>0.17354549975136699</v>
      </c>
      <c r="I393" s="211">
        <v>11.5121951219512</v>
      </c>
      <c r="J393" s="211">
        <v>-0.173356671245181</v>
      </c>
      <c r="K393" s="288">
        <v>-348.62026587405802</v>
      </c>
    </row>
    <row r="394" spans="2:11" x14ac:dyDescent="0.2">
      <c r="B394">
        <v>2</v>
      </c>
      <c r="C394">
        <v>732</v>
      </c>
      <c r="D394" s="308" t="s">
        <v>966</v>
      </c>
      <c r="E394" s="291">
        <v>1619</v>
      </c>
      <c r="F394" s="291">
        <v>164</v>
      </c>
      <c r="G394" s="291">
        <v>381</v>
      </c>
      <c r="H394" s="287">
        <v>0.10129709697344</v>
      </c>
      <c r="I394" s="211">
        <v>4.67979002624672</v>
      </c>
      <c r="J394" s="211">
        <v>-0.52714411056566701</v>
      </c>
      <c r="K394" s="288">
        <v>-853.44631500581499</v>
      </c>
    </row>
    <row r="395" spans="2:11" x14ac:dyDescent="0.2">
      <c r="B395">
        <v>2</v>
      </c>
      <c r="C395">
        <v>733</v>
      </c>
      <c r="D395" s="308" t="s">
        <v>967</v>
      </c>
      <c r="E395" s="291">
        <v>4283</v>
      </c>
      <c r="F395" s="291">
        <v>3068</v>
      </c>
      <c r="G395" s="291">
        <v>481</v>
      </c>
      <c r="H395" s="287">
        <v>0.716320336212935</v>
      </c>
      <c r="I395" s="211">
        <v>15.2827442827443</v>
      </c>
      <c r="J395" s="211">
        <v>0.72361161876176106</v>
      </c>
      <c r="K395" s="288">
        <v>3099.2285631566201</v>
      </c>
    </row>
    <row r="396" spans="2:11" x14ac:dyDescent="0.2">
      <c r="B396">
        <v>2</v>
      </c>
      <c r="C396">
        <v>734</v>
      </c>
      <c r="D396" s="308" t="s">
        <v>968</v>
      </c>
      <c r="E396" s="291">
        <v>438</v>
      </c>
      <c r="F396" s="291">
        <v>81</v>
      </c>
      <c r="G396" s="291">
        <v>296</v>
      </c>
      <c r="H396" s="287">
        <v>0.184931506849315</v>
      </c>
      <c r="I396" s="211">
        <v>1.7533783783783801</v>
      </c>
      <c r="J396" s="211">
        <v>-0.57540345895288203</v>
      </c>
      <c r="K396" s="288">
        <v>-252.02671502136201</v>
      </c>
    </row>
    <row r="397" spans="2:11" x14ac:dyDescent="0.2">
      <c r="B397">
        <v>2</v>
      </c>
      <c r="C397">
        <v>735</v>
      </c>
      <c r="D397" s="308" t="s">
        <v>969</v>
      </c>
      <c r="E397" s="291">
        <v>326</v>
      </c>
      <c r="F397" s="291">
        <v>97</v>
      </c>
      <c r="G397" s="291">
        <v>335</v>
      </c>
      <c r="H397" s="287">
        <v>0.29754601226993899</v>
      </c>
      <c r="I397" s="211">
        <v>1.26268656716418</v>
      </c>
      <c r="J397" s="211">
        <v>-0.45803805281203402</v>
      </c>
      <c r="K397" s="288">
        <v>-149.320405216723</v>
      </c>
    </row>
    <row r="398" spans="2:11" x14ac:dyDescent="0.2">
      <c r="B398">
        <v>2</v>
      </c>
      <c r="C398">
        <v>736</v>
      </c>
      <c r="D398" s="308" t="s">
        <v>970</v>
      </c>
      <c r="E398" s="291">
        <v>413</v>
      </c>
      <c r="F398" s="291">
        <v>70</v>
      </c>
      <c r="G398" s="291">
        <v>158</v>
      </c>
      <c r="H398" s="287">
        <v>0.169491525423729</v>
      </c>
      <c r="I398" s="211">
        <v>3.05696202531646</v>
      </c>
      <c r="J398" s="211">
        <v>-0.54792985127134497</v>
      </c>
      <c r="K398" s="288">
        <v>-226.295028575066</v>
      </c>
    </row>
    <row r="399" spans="2:11" x14ac:dyDescent="0.2">
      <c r="B399">
        <v>2</v>
      </c>
      <c r="C399">
        <v>737</v>
      </c>
      <c r="D399" s="308" t="s">
        <v>971</v>
      </c>
      <c r="E399" s="291">
        <v>312</v>
      </c>
      <c r="F399" s="291">
        <v>67</v>
      </c>
      <c r="G399" s="291">
        <v>345</v>
      </c>
      <c r="H399" s="287">
        <v>0.21474358974359001</v>
      </c>
      <c r="I399" s="211">
        <v>1.09855072463768</v>
      </c>
      <c r="J399" s="211">
        <v>-0.56716730860005204</v>
      </c>
      <c r="K399" s="288">
        <v>-176.95620028321599</v>
      </c>
    </row>
    <row r="400" spans="2:11" x14ac:dyDescent="0.2">
      <c r="B400">
        <v>2</v>
      </c>
      <c r="C400">
        <v>738</v>
      </c>
      <c r="D400" s="308" t="s">
        <v>972</v>
      </c>
      <c r="E400" s="291">
        <v>676</v>
      </c>
      <c r="F400" s="291">
        <v>115</v>
      </c>
      <c r="G400" s="291">
        <v>461</v>
      </c>
      <c r="H400" s="287">
        <v>0.170118343195266</v>
      </c>
      <c r="I400" s="211">
        <v>1.7158351409978301</v>
      </c>
      <c r="J400" s="211">
        <v>-0.58603531923612096</v>
      </c>
      <c r="K400" s="288">
        <v>-396.15987580361798</v>
      </c>
    </row>
    <row r="401" spans="2:11" x14ac:dyDescent="0.2">
      <c r="B401">
        <v>2</v>
      </c>
      <c r="C401">
        <v>739</v>
      </c>
      <c r="D401" s="308" t="s">
        <v>973</v>
      </c>
      <c r="E401" s="291">
        <v>4015</v>
      </c>
      <c r="F401" s="291">
        <v>775</v>
      </c>
      <c r="G401" s="291">
        <v>189</v>
      </c>
      <c r="H401" s="287">
        <v>0.19302615193026201</v>
      </c>
      <c r="I401" s="211">
        <v>25.343915343915299</v>
      </c>
      <c r="J401" s="211">
        <v>0.432007971464754</v>
      </c>
      <c r="K401" s="288">
        <v>1734.51200543099</v>
      </c>
    </row>
    <row r="402" spans="2:11" x14ac:dyDescent="0.2">
      <c r="B402">
        <v>2</v>
      </c>
      <c r="C402">
        <v>740</v>
      </c>
      <c r="D402" s="308" t="s">
        <v>974</v>
      </c>
      <c r="E402" s="291">
        <v>550</v>
      </c>
      <c r="F402" s="291">
        <v>190</v>
      </c>
      <c r="G402" s="291">
        <v>171</v>
      </c>
      <c r="H402" s="287">
        <v>0.34545454545454501</v>
      </c>
      <c r="I402" s="211">
        <v>4.3274853801169604</v>
      </c>
      <c r="J402" s="211">
        <v>-0.27829278363343102</v>
      </c>
      <c r="K402" s="288">
        <v>-153.061030998387</v>
      </c>
    </row>
    <row r="403" spans="2:11" x14ac:dyDescent="0.2">
      <c r="B403">
        <v>2</v>
      </c>
      <c r="C403">
        <v>741</v>
      </c>
      <c r="D403" s="308" t="s">
        <v>975</v>
      </c>
      <c r="E403" s="291">
        <v>405</v>
      </c>
      <c r="F403" s="291">
        <v>39</v>
      </c>
      <c r="G403" s="291">
        <v>225</v>
      </c>
      <c r="H403" s="287">
        <v>9.6296296296296297E-2</v>
      </c>
      <c r="I403" s="211">
        <v>1.9733333333333301</v>
      </c>
      <c r="J403" s="211">
        <v>-0.67847284520323203</v>
      </c>
      <c r="K403" s="288">
        <v>-274.78150230730898</v>
      </c>
    </row>
    <row r="404" spans="2:11" x14ac:dyDescent="0.2">
      <c r="B404">
        <v>2</v>
      </c>
      <c r="C404">
        <v>742</v>
      </c>
      <c r="D404" s="308" t="s">
        <v>976</v>
      </c>
      <c r="E404" s="291">
        <v>858</v>
      </c>
      <c r="F404" s="291">
        <v>157</v>
      </c>
      <c r="G404" s="291">
        <v>215</v>
      </c>
      <c r="H404" s="287">
        <v>0.182983682983683</v>
      </c>
      <c r="I404" s="211">
        <v>4.7209302325581399</v>
      </c>
      <c r="J404" s="211">
        <v>-0.45349741918020903</v>
      </c>
      <c r="K404" s="288">
        <v>-389.100785656619</v>
      </c>
    </row>
    <row r="405" spans="2:11" x14ac:dyDescent="0.2">
      <c r="B405">
        <v>2</v>
      </c>
      <c r="C405">
        <v>743</v>
      </c>
      <c r="D405" s="308" t="s">
        <v>977</v>
      </c>
      <c r="E405" s="291">
        <v>6891</v>
      </c>
      <c r="F405" s="291">
        <v>2945</v>
      </c>
      <c r="G405" s="291">
        <v>135</v>
      </c>
      <c r="H405" s="287">
        <v>0.427369032070817</v>
      </c>
      <c r="I405" s="211">
        <v>72.859259259259304</v>
      </c>
      <c r="J405" s="211">
        <v>2.5658947381655</v>
      </c>
      <c r="K405" s="288">
        <v>17681.580640698499</v>
      </c>
    </row>
    <row r="406" spans="2:11" x14ac:dyDescent="0.2">
      <c r="B406">
        <v>2</v>
      </c>
      <c r="C406">
        <v>744</v>
      </c>
      <c r="D406" s="308" t="s">
        <v>978</v>
      </c>
      <c r="E406" s="291">
        <v>2727</v>
      </c>
      <c r="F406" s="291">
        <v>678</v>
      </c>
      <c r="G406" s="291">
        <v>384</v>
      </c>
      <c r="H406" s="287">
        <v>0.24862486248624899</v>
      </c>
      <c r="I406" s="211">
        <v>8.8671875</v>
      </c>
      <c r="J406" s="211">
        <v>-0.14946668028360599</v>
      </c>
      <c r="K406" s="288">
        <v>-407.59563713339202</v>
      </c>
    </row>
    <row r="407" spans="2:11" x14ac:dyDescent="0.2">
      <c r="B407">
        <v>2</v>
      </c>
      <c r="C407">
        <v>745</v>
      </c>
      <c r="D407" s="308" t="s">
        <v>979</v>
      </c>
      <c r="E407" s="291">
        <v>3532</v>
      </c>
      <c r="F407" s="291">
        <v>1003</v>
      </c>
      <c r="G407" s="291">
        <v>234</v>
      </c>
      <c r="H407" s="287">
        <v>0.28397508493771201</v>
      </c>
      <c r="I407" s="211">
        <v>19.380341880341899</v>
      </c>
      <c r="J407" s="211">
        <v>0.308671257858324</v>
      </c>
      <c r="K407" s="288">
        <v>1090.2268827555999</v>
      </c>
    </row>
    <row r="408" spans="2:11" x14ac:dyDescent="0.2">
      <c r="B408">
        <v>2</v>
      </c>
      <c r="C408">
        <v>746</v>
      </c>
      <c r="D408" s="308" t="s">
        <v>980</v>
      </c>
      <c r="E408" s="291">
        <v>1912</v>
      </c>
      <c r="F408" s="291">
        <v>523</v>
      </c>
      <c r="G408" s="291">
        <v>536</v>
      </c>
      <c r="H408" s="287">
        <v>0.27353556485355701</v>
      </c>
      <c r="I408" s="211">
        <v>4.5429104477611899</v>
      </c>
      <c r="J408" s="211">
        <v>-0.30751108093180202</v>
      </c>
      <c r="K408" s="288">
        <v>-587.96118674160596</v>
      </c>
    </row>
    <row r="409" spans="2:11" x14ac:dyDescent="0.2">
      <c r="B409">
        <v>2</v>
      </c>
      <c r="C409">
        <v>747</v>
      </c>
      <c r="D409" s="308" t="s">
        <v>981</v>
      </c>
      <c r="E409" s="291">
        <v>451</v>
      </c>
      <c r="F409" s="291">
        <v>134</v>
      </c>
      <c r="G409" s="291">
        <v>198</v>
      </c>
      <c r="H409" s="287">
        <v>0.29711751662971198</v>
      </c>
      <c r="I409" s="211">
        <v>2.9545454545454501</v>
      </c>
      <c r="J409" s="211">
        <v>-0.39206502817056599</v>
      </c>
      <c r="K409" s="288">
        <v>-176.82132770492501</v>
      </c>
    </row>
    <row r="410" spans="2:11" x14ac:dyDescent="0.2">
      <c r="B410">
        <v>2</v>
      </c>
      <c r="C410">
        <v>748</v>
      </c>
      <c r="D410" s="308" t="s">
        <v>982</v>
      </c>
      <c r="E410" s="291">
        <v>673</v>
      </c>
      <c r="F410" s="291">
        <v>189</v>
      </c>
      <c r="G410" s="291">
        <v>406</v>
      </c>
      <c r="H410" s="287">
        <v>0.28083209509658202</v>
      </c>
      <c r="I410" s="211">
        <v>2.1231527093596099</v>
      </c>
      <c r="J410" s="211">
        <v>-0.43409637073428198</v>
      </c>
      <c r="K410" s="288">
        <v>-292.14685750417198</v>
      </c>
    </row>
    <row r="411" spans="2:11" x14ac:dyDescent="0.2">
      <c r="B411">
        <v>2</v>
      </c>
      <c r="C411">
        <v>749</v>
      </c>
      <c r="D411" s="308" t="s">
        <v>983</v>
      </c>
      <c r="E411" s="291">
        <v>3256</v>
      </c>
      <c r="F411" s="291">
        <v>1683</v>
      </c>
      <c r="G411" s="291">
        <v>274</v>
      </c>
      <c r="H411" s="287">
        <v>0.516891891891892</v>
      </c>
      <c r="I411" s="211">
        <v>18.025547445255501</v>
      </c>
      <c r="J411" s="211">
        <v>0.53731764921407899</v>
      </c>
      <c r="K411" s="288">
        <v>1749.50626584104</v>
      </c>
    </row>
    <row r="412" spans="2:11" x14ac:dyDescent="0.2">
      <c r="B412">
        <v>2</v>
      </c>
      <c r="C412">
        <v>750</v>
      </c>
      <c r="D412" s="308" t="s">
        <v>984</v>
      </c>
      <c r="E412" s="291">
        <v>1390</v>
      </c>
      <c r="F412" s="291">
        <v>640</v>
      </c>
      <c r="G412" s="291">
        <v>353</v>
      </c>
      <c r="H412" s="287">
        <v>0.46043165467625902</v>
      </c>
      <c r="I412" s="211">
        <v>5.7507082152974496</v>
      </c>
      <c r="J412" s="211">
        <v>-5.1794741445330202E-2</v>
      </c>
      <c r="K412" s="288">
        <v>-71.994690609008998</v>
      </c>
    </row>
    <row r="413" spans="2:11" x14ac:dyDescent="0.2">
      <c r="B413">
        <v>2</v>
      </c>
      <c r="C413">
        <v>751</v>
      </c>
      <c r="D413" s="308" t="s">
        <v>985</v>
      </c>
      <c r="E413" s="291">
        <v>2805</v>
      </c>
      <c r="F413" s="291">
        <v>1098</v>
      </c>
      <c r="G413" s="291">
        <v>413</v>
      </c>
      <c r="H413" s="287">
        <v>0.39144385026737999</v>
      </c>
      <c r="I413" s="211">
        <v>9.4503631961259096</v>
      </c>
      <c r="J413" s="211">
        <v>5.1767112288938301E-2</v>
      </c>
      <c r="K413" s="288">
        <v>145.206749970472</v>
      </c>
    </row>
    <row r="414" spans="2:11" x14ac:dyDescent="0.2">
      <c r="B414">
        <v>2</v>
      </c>
      <c r="C414">
        <v>754</v>
      </c>
      <c r="D414" s="308" t="s">
        <v>986</v>
      </c>
      <c r="E414" s="291">
        <v>981</v>
      </c>
      <c r="F414" s="291">
        <v>313</v>
      </c>
      <c r="G414" s="291">
        <v>637</v>
      </c>
      <c r="H414" s="287">
        <v>0.31906218144750298</v>
      </c>
      <c r="I414" s="211">
        <v>2.03139717425432</v>
      </c>
      <c r="J414" s="211">
        <v>-0.37830222116578499</v>
      </c>
      <c r="K414" s="288">
        <v>-371.11447896363501</v>
      </c>
    </row>
    <row r="415" spans="2:11" x14ac:dyDescent="0.2">
      <c r="B415">
        <v>2</v>
      </c>
      <c r="C415">
        <v>755</v>
      </c>
      <c r="D415" s="308" t="s">
        <v>987</v>
      </c>
      <c r="E415" s="291">
        <v>2259</v>
      </c>
      <c r="F415" s="291">
        <v>834</v>
      </c>
      <c r="G415" s="291">
        <v>267</v>
      </c>
      <c r="H415" s="287">
        <v>0.36918990703851301</v>
      </c>
      <c r="I415" s="211">
        <v>11.584269662921299</v>
      </c>
      <c r="J415" s="211">
        <v>8.1184467014730005E-2</v>
      </c>
      <c r="K415" s="288">
        <v>183.39571098627499</v>
      </c>
    </row>
    <row r="416" spans="2:11" x14ac:dyDescent="0.2">
      <c r="B416">
        <v>2</v>
      </c>
      <c r="C416">
        <v>756</v>
      </c>
      <c r="D416" s="308" t="s">
        <v>988</v>
      </c>
      <c r="E416" s="291">
        <v>1154</v>
      </c>
      <c r="F416" s="291">
        <v>369</v>
      </c>
      <c r="G416" s="291">
        <v>1200</v>
      </c>
      <c r="H416" s="287">
        <v>0.31975736568457502</v>
      </c>
      <c r="I416" s="211">
        <v>1.2691666666666701</v>
      </c>
      <c r="J416" s="211">
        <v>-0.39864067145812199</v>
      </c>
      <c r="K416" s="288">
        <v>-460.03133486267302</v>
      </c>
    </row>
    <row r="417" spans="2:11" x14ac:dyDescent="0.2">
      <c r="B417">
        <v>2</v>
      </c>
      <c r="C417">
        <v>761</v>
      </c>
      <c r="D417" s="308" t="s">
        <v>989</v>
      </c>
      <c r="E417" s="291">
        <v>851</v>
      </c>
      <c r="F417" s="291">
        <v>328</v>
      </c>
      <c r="G417" s="291">
        <v>2949</v>
      </c>
      <c r="H417" s="287">
        <v>0.38542890716803802</v>
      </c>
      <c r="I417" s="211">
        <v>0.39979654120040697</v>
      </c>
      <c r="J417" s="211">
        <v>-0.36055946766277602</v>
      </c>
      <c r="K417" s="288">
        <v>-306.836106981022</v>
      </c>
    </row>
    <row r="418" spans="2:11" x14ac:dyDescent="0.2">
      <c r="B418">
        <v>2</v>
      </c>
      <c r="C418">
        <v>762</v>
      </c>
      <c r="D418" s="308" t="s">
        <v>990</v>
      </c>
      <c r="E418" s="291">
        <v>2175</v>
      </c>
      <c r="F418" s="291">
        <v>1240</v>
      </c>
      <c r="G418" s="291">
        <v>10526</v>
      </c>
      <c r="H418" s="287">
        <v>0.57011494252873596</v>
      </c>
      <c r="I418" s="211">
        <v>0.324434733041991</v>
      </c>
      <c r="J418" s="211">
        <v>-8.3863407182341296E-2</v>
      </c>
      <c r="K418" s="288">
        <v>-182.40291062159201</v>
      </c>
    </row>
    <row r="419" spans="2:11" x14ac:dyDescent="0.2">
      <c r="B419">
        <v>2</v>
      </c>
      <c r="C419">
        <v>763</v>
      </c>
      <c r="D419" s="308" t="s">
        <v>991</v>
      </c>
      <c r="E419" s="291">
        <v>1718</v>
      </c>
      <c r="F419" s="291">
        <v>697</v>
      </c>
      <c r="G419" s="291">
        <v>3388</v>
      </c>
      <c r="H419" s="287">
        <v>0.405704307334109</v>
      </c>
      <c r="I419" s="211">
        <v>0.71280991735537202</v>
      </c>
      <c r="J419" s="211">
        <v>-0.29088695159184502</v>
      </c>
      <c r="K419" s="288">
        <v>-499.74378283478899</v>
      </c>
    </row>
    <row r="420" spans="2:11" x14ac:dyDescent="0.2">
      <c r="B420">
        <v>2</v>
      </c>
      <c r="C420">
        <v>766</v>
      </c>
      <c r="D420" s="308" t="s">
        <v>992</v>
      </c>
      <c r="E420" s="291">
        <v>799</v>
      </c>
      <c r="F420" s="291">
        <v>337</v>
      </c>
      <c r="G420" s="291">
        <v>4091</v>
      </c>
      <c r="H420" s="287">
        <v>0.421777221526909</v>
      </c>
      <c r="I420" s="211">
        <v>0.277682718161819</v>
      </c>
      <c r="J420" s="211">
        <v>-0.32196017984540198</v>
      </c>
      <c r="K420" s="288">
        <v>-257.24618369647601</v>
      </c>
    </row>
    <row r="421" spans="2:11" x14ac:dyDescent="0.2">
      <c r="B421">
        <v>2</v>
      </c>
      <c r="C421">
        <v>767</v>
      </c>
      <c r="D421" s="308" t="s">
        <v>993</v>
      </c>
      <c r="E421" s="291">
        <v>988</v>
      </c>
      <c r="F421" s="291">
        <v>261</v>
      </c>
      <c r="G421" s="291">
        <v>1090</v>
      </c>
      <c r="H421" s="287">
        <v>0.26417004048582998</v>
      </c>
      <c r="I421" s="211">
        <v>1.14587155963303</v>
      </c>
      <c r="J421" s="211">
        <v>-0.47836371110658399</v>
      </c>
      <c r="K421" s="288">
        <v>-472.62334657330501</v>
      </c>
    </row>
    <row r="422" spans="2:11" x14ac:dyDescent="0.2">
      <c r="B422">
        <v>2</v>
      </c>
      <c r="C422">
        <v>768</v>
      </c>
      <c r="D422" s="308" t="s">
        <v>994</v>
      </c>
      <c r="E422" s="291">
        <v>12713</v>
      </c>
      <c r="F422" s="291">
        <v>5412</v>
      </c>
      <c r="G422" s="291">
        <v>1615</v>
      </c>
      <c r="H422" s="287">
        <v>0.42570597026665602</v>
      </c>
      <c r="I422" s="211">
        <v>11.222910216718301</v>
      </c>
      <c r="J422" s="211">
        <v>0.53747466730037796</v>
      </c>
      <c r="K422" s="288">
        <v>6832.9154453897099</v>
      </c>
    </row>
    <row r="423" spans="2:11" x14ac:dyDescent="0.2">
      <c r="B423">
        <v>2</v>
      </c>
      <c r="C423">
        <v>769</v>
      </c>
      <c r="D423" s="308" t="s">
        <v>995</v>
      </c>
      <c r="E423" s="291">
        <v>2463</v>
      </c>
      <c r="F423" s="291">
        <v>1230</v>
      </c>
      <c r="G423" s="291">
        <v>1897</v>
      </c>
      <c r="H423" s="287">
        <v>0.499390986601705</v>
      </c>
      <c r="I423" s="211">
        <v>1.9467580390089601</v>
      </c>
      <c r="J423" s="211">
        <v>-0.101306873140441</v>
      </c>
      <c r="K423" s="288">
        <v>-249.518828544906</v>
      </c>
    </row>
    <row r="424" spans="2:11" x14ac:dyDescent="0.2">
      <c r="B424">
        <v>2</v>
      </c>
      <c r="C424">
        <v>770</v>
      </c>
      <c r="D424" s="308" t="s">
        <v>996</v>
      </c>
      <c r="E424" s="291">
        <v>992</v>
      </c>
      <c r="F424" s="291">
        <v>219</v>
      </c>
      <c r="G424" s="291">
        <v>1268</v>
      </c>
      <c r="H424" s="287">
        <v>0.22076612903225801</v>
      </c>
      <c r="I424" s="211">
        <v>0.955047318611987</v>
      </c>
      <c r="J424" s="211">
        <v>-0.53895770567368095</v>
      </c>
      <c r="K424" s="288">
        <v>-534.64604402829195</v>
      </c>
    </row>
    <row r="425" spans="2:11" x14ac:dyDescent="0.2">
      <c r="B425">
        <v>2</v>
      </c>
      <c r="C425">
        <v>782</v>
      </c>
      <c r="D425" s="308" t="s">
        <v>997</v>
      </c>
      <c r="E425" s="291">
        <v>267</v>
      </c>
      <c r="F425" s="291">
        <v>188</v>
      </c>
      <c r="G425" s="291">
        <v>2728</v>
      </c>
      <c r="H425" s="287">
        <v>0.70411985018726597</v>
      </c>
      <c r="I425" s="211">
        <v>0.16678885630498499</v>
      </c>
      <c r="J425" s="211">
        <v>3.5352603279641798E-3</v>
      </c>
      <c r="K425" s="288">
        <v>0.94391450756643702</v>
      </c>
    </row>
    <row r="426" spans="2:11" x14ac:dyDescent="0.2">
      <c r="B426">
        <v>2</v>
      </c>
      <c r="C426">
        <v>783</v>
      </c>
      <c r="D426" s="308" t="s">
        <v>998</v>
      </c>
      <c r="E426" s="291">
        <v>1193</v>
      </c>
      <c r="F426" s="291">
        <v>868</v>
      </c>
      <c r="G426" s="291">
        <v>3674</v>
      </c>
      <c r="H426" s="287">
        <v>0.72757753562447602</v>
      </c>
      <c r="I426" s="211">
        <v>0.56096897114861199</v>
      </c>
      <c r="J426" s="211">
        <v>8.2366893974073402E-2</v>
      </c>
      <c r="K426" s="288">
        <v>98.263704511069605</v>
      </c>
    </row>
    <row r="427" spans="2:11" x14ac:dyDescent="0.2">
      <c r="B427">
        <v>2</v>
      </c>
      <c r="C427">
        <v>784</v>
      </c>
      <c r="D427" s="308" t="s">
        <v>999</v>
      </c>
      <c r="E427" s="291">
        <v>1087</v>
      </c>
      <c r="F427" s="291">
        <v>657</v>
      </c>
      <c r="G427" s="291">
        <v>7429</v>
      </c>
      <c r="H427" s="287">
        <v>0.60441582336706501</v>
      </c>
      <c r="I427" s="211">
        <v>0.23475568717189399</v>
      </c>
      <c r="J427" s="211">
        <v>-8.6202846508011993E-2</v>
      </c>
      <c r="K427" s="288">
        <v>-93.702494154209106</v>
      </c>
    </row>
    <row r="428" spans="2:11" x14ac:dyDescent="0.2">
      <c r="B428">
        <v>2</v>
      </c>
      <c r="C428">
        <v>785</v>
      </c>
      <c r="D428" s="308" t="s">
        <v>1000</v>
      </c>
      <c r="E428" s="291">
        <v>4692</v>
      </c>
      <c r="F428" s="291">
        <v>2722</v>
      </c>
      <c r="G428" s="291">
        <v>3413</v>
      </c>
      <c r="H428" s="287">
        <v>0.58013640238704201</v>
      </c>
      <c r="I428" s="211">
        <v>2.17228244945795</v>
      </c>
      <c r="J428" s="211">
        <v>9.2147163035187094E-2</v>
      </c>
      <c r="K428" s="288">
        <v>432.35448896109801</v>
      </c>
    </row>
    <row r="429" spans="2:11" x14ac:dyDescent="0.2">
      <c r="B429">
        <v>2</v>
      </c>
      <c r="C429">
        <v>786</v>
      </c>
      <c r="D429" s="308" t="s">
        <v>1001</v>
      </c>
      <c r="E429" s="291">
        <v>585</v>
      </c>
      <c r="F429" s="291">
        <v>618</v>
      </c>
      <c r="G429" s="291">
        <v>2161</v>
      </c>
      <c r="H429" s="287">
        <v>1.05641025641026</v>
      </c>
      <c r="I429" s="211">
        <v>0.55668671911152201</v>
      </c>
      <c r="J429" s="211">
        <v>0.46645701629056802</v>
      </c>
      <c r="K429" s="288">
        <v>272.87735452998197</v>
      </c>
    </row>
    <row r="430" spans="2:11" x14ac:dyDescent="0.2">
      <c r="B430">
        <v>2</v>
      </c>
      <c r="C430">
        <v>791</v>
      </c>
      <c r="D430" s="308" t="s">
        <v>1002</v>
      </c>
      <c r="E430" s="291">
        <v>1294</v>
      </c>
      <c r="F430" s="291">
        <v>498</v>
      </c>
      <c r="G430" s="291">
        <v>7102</v>
      </c>
      <c r="H430" s="287">
        <v>0.38485316846986101</v>
      </c>
      <c r="I430" s="211">
        <v>0.25232328921430602</v>
      </c>
      <c r="J430" s="211">
        <v>-0.34972669917596599</v>
      </c>
      <c r="K430" s="288">
        <v>-452.54634873369997</v>
      </c>
    </row>
    <row r="431" spans="2:11" x14ac:dyDescent="0.2">
      <c r="B431">
        <v>2</v>
      </c>
      <c r="C431">
        <v>792</v>
      </c>
      <c r="D431" s="308" t="s">
        <v>1003</v>
      </c>
      <c r="E431" s="291">
        <v>2358</v>
      </c>
      <c r="F431" s="291">
        <v>1844</v>
      </c>
      <c r="G431" s="291">
        <v>7600</v>
      </c>
      <c r="H431" s="287">
        <v>0.78201865988125496</v>
      </c>
      <c r="I431" s="211">
        <v>0.55289473684210499</v>
      </c>
      <c r="J431" s="211">
        <v>0.19404782526316</v>
      </c>
      <c r="K431" s="288">
        <v>457.56477197053101</v>
      </c>
    </row>
    <row r="432" spans="2:11" x14ac:dyDescent="0.2">
      <c r="B432">
        <v>2</v>
      </c>
      <c r="C432">
        <v>793</v>
      </c>
      <c r="D432" s="308" t="s">
        <v>1004</v>
      </c>
      <c r="E432" s="291">
        <v>1325</v>
      </c>
      <c r="F432" s="291">
        <v>712</v>
      </c>
      <c r="G432" s="291">
        <v>5169</v>
      </c>
      <c r="H432" s="287">
        <v>0.53735849056603802</v>
      </c>
      <c r="I432" s="211">
        <v>0.39408009286128798</v>
      </c>
      <c r="J432" s="211">
        <v>-0.154391051987222</v>
      </c>
      <c r="K432" s="288">
        <v>-204.56814388306901</v>
      </c>
    </row>
    <row r="433" spans="2:11" x14ac:dyDescent="0.2">
      <c r="B433">
        <v>2</v>
      </c>
      <c r="C433">
        <v>794</v>
      </c>
      <c r="D433" s="308" t="s">
        <v>1005</v>
      </c>
      <c r="E433" s="291">
        <v>3035</v>
      </c>
      <c r="F433" s="291">
        <v>1770</v>
      </c>
      <c r="G433" s="291">
        <v>6721</v>
      </c>
      <c r="H433" s="287">
        <v>0.58319604612850096</v>
      </c>
      <c r="I433" s="211">
        <v>0.71492337449784304</v>
      </c>
      <c r="J433" s="211">
        <v>-2.0546570886594701E-2</v>
      </c>
      <c r="K433" s="288">
        <v>-62.3588426408148</v>
      </c>
    </row>
    <row r="434" spans="2:11" x14ac:dyDescent="0.2">
      <c r="B434">
        <v>2</v>
      </c>
      <c r="C434">
        <v>841</v>
      </c>
      <c r="D434" s="308" t="s">
        <v>1006</v>
      </c>
      <c r="E434" s="291">
        <v>981</v>
      </c>
      <c r="F434" s="291">
        <v>380</v>
      </c>
      <c r="G434" s="291">
        <v>4704</v>
      </c>
      <c r="H434" s="287">
        <v>0.38735983690112102</v>
      </c>
      <c r="I434" s="211">
        <v>0.289328231292517</v>
      </c>
      <c r="J434" s="211">
        <v>-0.35722995659929702</v>
      </c>
      <c r="K434" s="288">
        <v>-350.44258742391003</v>
      </c>
    </row>
    <row r="435" spans="2:11" x14ac:dyDescent="0.2">
      <c r="B435">
        <v>2</v>
      </c>
      <c r="C435">
        <v>842</v>
      </c>
      <c r="D435" s="308" t="s">
        <v>1007</v>
      </c>
      <c r="E435" s="291">
        <v>835</v>
      </c>
      <c r="F435" s="291">
        <v>383</v>
      </c>
      <c r="G435" s="291">
        <v>3764</v>
      </c>
      <c r="H435" s="287">
        <v>0.458682634730539</v>
      </c>
      <c r="I435" s="211">
        <v>0.32359192348565402</v>
      </c>
      <c r="J435" s="211">
        <v>-0.27317776725570098</v>
      </c>
      <c r="K435" s="288">
        <v>-228.10343565850999</v>
      </c>
    </row>
    <row r="436" spans="2:11" x14ac:dyDescent="0.2">
      <c r="B436">
        <v>2</v>
      </c>
      <c r="C436">
        <v>843</v>
      </c>
      <c r="D436" s="308" t="s">
        <v>1008</v>
      </c>
      <c r="E436" s="291">
        <v>6882</v>
      </c>
      <c r="F436" s="291">
        <v>6695</v>
      </c>
      <c r="G436" s="291">
        <v>10956</v>
      </c>
      <c r="H436" s="287">
        <v>0.972827666376053</v>
      </c>
      <c r="I436" s="211">
        <v>1.23922964585615</v>
      </c>
      <c r="J436" s="211">
        <v>0.62839221490812902</v>
      </c>
      <c r="K436" s="288">
        <v>4324.5952229977402</v>
      </c>
    </row>
    <row r="437" spans="2:11" x14ac:dyDescent="0.2">
      <c r="B437">
        <v>2</v>
      </c>
      <c r="C437">
        <v>852</v>
      </c>
      <c r="D437" s="308" t="s">
        <v>1009</v>
      </c>
      <c r="E437" s="291">
        <v>1586</v>
      </c>
      <c r="F437" s="291">
        <v>566</v>
      </c>
      <c r="G437" s="291">
        <v>5228</v>
      </c>
      <c r="H437" s="287">
        <v>0.35687263556116</v>
      </c>
      <c r="I437" s="211">
        <v>0.41162968630451402</v>
      </c>
      <c r="J437" s="211">
        <v>-0.367429680865549</v>
      </c>
      <c r="K437" s="288">
        <v>-582.74347385276099</v>
      </c>
    </row>
    <row r="438" spans="2:11" x14ac:dyDescent="0.2">
      <c r="B438">
        <v>2</v>
      </c>
      <c r="C438">
        <v>853</v>
      </c>
      <c r="D438" s="308" t="s">
        <v>1010</v>
      </c>
      <c r="E438" s="291">
        <v>1617</v>
      </c>
      <c r="F438" s="291">
        <v>439</v>
      </c>
      <c r="G438" s="291">
        <v>5430</v>
      </c>
      <c r="H438" s="287">
        <v>0.271490414347557</v>
      </c>
      <c r="I438" s="211">
        <v>0.37863720073664803</v>
      </c>
      <c r="J438" s="211">
        <v>-0.47325151238135299</v>
      </c>
      <c r="K438" s="288">
        <v>-765.24769552064799</v>
      </c>
    </row>
    <row r="439" spans="2:11" x14ac:dyDescent="0.2">
      <c r="B439">
        <v>2</v>
      </c>
      <c r="C439">
        <v>855</v>
      </c>
      <c r="D439" s="308" t="s">
        <v>1011</v>
      </c>
      <c r="E439" s="291">
        <v>6887</v>
      </c>
      <c r="F439" s="291">
        <v>3202</v>
      </c>
      <c r="G439" s="291">
        <v>4398</v>
      </c>
      <c r="H439" s="287">
        <v>0.46493393349789502</v>
      </c>
      <c r="I439" s="211">
        <v>2.29399727148704</v>
      </c>
      <c r="J439" s="211">
        <v>3.7702969431558597E-2</v>
      </c>
      <c r="K439" s="288">
        <v>259.66035047514401</v>
      </c>
    </row>
    <row r="440" spans="2:11" x14ac:dyDescent="0.2">
      <c r="B440">
        <v>2</v>
      </c>
      <c r="C440">
        <v>861</v>
      </c>
      <c r="D440" s="308" t="s">
        <v>1012</v>
      </c>
      <c r="E440" s="291">
        <v>11534</v>
      </c>
      <c r="F440" s="291">
        <v>5233</v>
      </c>
      <c r="G440" s="291">
        <v>2272</v>
      </c>
      <c r="H440" s="287">
        <v>0.45370209814461598</v>
      </c>
      <c r="I440" s="211">
        <v>7.3798415492957696</v>
      </c>
      <c r="J440" s="211">
        <v>0.38690235472918399</v>
      </c>
      <c r="K440" s="288">
        <v>4462.5317594464004</v>
      </c>
    </row>
    <row r="441" spans="2:11" x14ac:dyDescent="0.2">
      <c r="B441">
        <v>2</v>
      </c>
      <c r="C441">
        <v>863</v>
      </c>
      <c r="D441" s="308" t="s">
        <v>1013</v>
      </c>
      <c r="E441" s="291">
        <v>1070</v>
      </c>
      <c r="F441" s="291">
        <v>381</v>
      </c>
      <c r="G441" s="291">
        <v>747</v>
      </c>
      <c r="H441" s="287">
        <v>0.35607476635514002</v>
      </c>
      <c r="I441" s="211">
        <v>1.9424364123159299</v>
      </c>
      <c r="J441" s="211">
        <v>-0.33228266168748299</v>
      </c>
      <c r="K441" s="288">
        <v>-355.54244800560701</v>
      </c>
    </row>
    <row r="442" spans="2:11" x14ac:dyDescent="0.2">
      <c r="B442">
        <v>2</v>
      </c>
      <c r="C442">
        <v>865</v>
      </c>
      <c r="D442" s="308" t="s">
        <v>1014</v>
      </c>
      <c r="E442" s="291">
        <v>286</v>
      </c>
      <c r="F442" s="291">
        <v>82</v>
      </c>
      <c r="G442" s="291">
        <v>347</v>
      </c>
      <c r="H442" s="287">
        <v>0.286713286713287</v>
      </c>
      <c r="I442" s="211">
        <v>1.0605187319884699</v>
      </c>
      <c r="J442" s="211">
        <v>-0.48036609153528498</v>
      </c>
      <c r="K442" s="288">
        <v>-137.38470217909099</v>
      </c>
    </row>
    <row r="443" spans="2:11" x14ac:dyDescent="0.2">
      <c r="B443">
        <v>2</v>
      </c>
      <c r="C443">
        <v>866</v>
      </c>
      <c r="D443" s="308" t="s">
        <v>1015</v>
      </c>
      <c r="E443" s="291">
        <v>1193</v>
      </c>
      <c r="F443" s="291">
        <v>287</v>
      </c>
      <c r="G443" s="291">
        <v>754</v>
      </c>
      <c r="H443" s="287">
        <v>0.24056999161777001</v>
      </c>
      <c r="I443" s="211">
        <v>1.96286472148541</v>
      </c>
      <c r="J443" s="211">
        <v>-0.469966941794704</v>
      </c>
      <c r="K443" s="288">
        <v>-560.67056156108197</v>
      </c>
    </row>
    <row r="444" spans="2:11" x14ac:dyDescent="0.2">
      <c r="B444">
        <v>2</v>
      </c>
      <c r="C444">
        <v>867</v>
      </c>
      <c r="D444" s="308" t="s">
        <v>1016</v>
      </c>
      <c r="E444" s="291">
        <v>855</v>
      </c>
      <c r="F444" s="291">
        <v>163</v>
      </c>
      <c r="G444" s="291">
        <v>448</v>
      </c>
      <c r="H444" s="287">
        <v>0.190643274853801</v>
      </c>
      <c r="I444" s="211">
        <v>2.2723214285714302</v>
      </c>
      <c r="J444" s="211">
        <v>-0.53345854875363696</v>
      </c>
      <c r="K444" s="288">
        <v>-456.107059184359</v>
      </c>
    </row>
    <row r="445" spans="2:11" x14ac:dyDescent="0.2">
      <c r="B445">
        <v>2</v>
      </c>
      <c r="C445">
        <v>868</v>
      </c>
      <c r="D445" s="308" t="s">
        <v>1017</v>
      </c>
      <c r="E445" s="291">
        <v>270</v>
      </c>
      <c r="F445" s="291">
        <v>93</v>
      </c>
      <c r="G445" s="291">
        <v>122</v>
      </c>
      <c r="H445" s="287">
        <v>0.344444444444444</v>
      </c>
      <c r="I445" s="211">
        <v>2.9754098360655701</v>
      </c>
      <c r="J445" s="211">
        <v>-0.33957386869488498</v>
      </c>
      <c r="K445" s="288">
        <v>-91.684944547619097</v>
      </c>
    </row>
    <row r="446" spans="2:11" x14ac:dyDescent="0.2">
      <c r="B446">
        <v>2</v>
      </c>
      <c r="C446">
        <v>869</v>
      </c>
      <c r="D446" s="308" t="s">
        <v>1018</v>
      </c>
      <c r="E446" s="291">
        <v>1066</v>
      </c>
      <c r="F446" s="291">
        <v>147</v>
      </c>
      <c r="G446" s="291">
        <v>203</v>
      </c>
      <c r="H446" s="287">
        <v>0.13789868667917399</v>
      </c>
      <c r="I446" s="211">
        <v>5.9753694581280801</v>
      </c>
      <c r="J446" s="211">
        <v>-0.45564908900002699</v>
      </c>
      <c r="K446" s="288">
        <v>-485.721928874029</v>
      </c>
    </row>
    <row r="447" spans="2:11" x14ac:dyDescent="0.2">
      <c r="B447">
        <v>2</v>
      </c>
      <c r="C447">
        <v>870</v>
      </c>
      <c r="D447" s="308" t="s">
        <v>1019</v>
      </c>
      <c r="E447" s="291">
        <v>4258</v>
      </c>
      <c r="F447" s="291">
        <v>984</v>
      </c>
      <c r="G447" s="291">
        <v>435</v>
      </c>
      <c r="H447" s="287">
        <v>0.231094410521372</v>
      </c>
      <c r="I447" s="211">
        <v>12.0505747126437</v>
      </c>
      <c r="J447" s="211">
        <v>3.45544319569415E-3</v>
      </c>
      <c r="K447" s="288">
        <v>14.7132771272657</v>
      </c>
    </row>
    <row r="448" spans="2:11" x14ac:dyDescent="0.2">
      <c r="B448">
        <v>2</v>
      </c>
      <c r="C448">
        <v>872</v>
      </c>
      <c r="D448" s="308" t="s">
        <v>1020</v>
      </c>
      <c r="E448" s="291">
        <v>963</v>
      </c>
      <c r="F448" s="291">
        <v>322</v>
      </c>
      <c r="G448" s="291">
        <v>595</v>
      </c>
      <c r="H448" s="287">
        <v>0.33437175493250298</v>
      </c>
      <c r="I448" s="211">
        <v>2.1596638655462201</v>
      </c>
      <c r="J448" s="211">
        <v>-0.35533908056320301</v>
      </c>
      <c r="K448" s="288">
        <v>-342.191534582364</v>
      </c>
    </row>
    <row r="449" spans="2:11" x14ac:dyDescent="0.2">
      <c r="B449">
        <v>2</v>
      </c>
      <c r="C449">
        <v>873</v>
      </c>
      <c r="D449" s="308" t="s">
        <v>1021</v>
      </c>
      <c r="E449" s="291">
        <v>280</v>
      </c>
      <c r="F449" s="291">
        <v>69</v>
      </c>
      <c r="G449" s="291">
        <v>122</v>
      </c>
      <c r="H449" s="287">
        <v>0.246428571428571</v>
      </c>
      <c r="I449" s="211">
        <v>2.8606557377049202</v>
      </c>
      <c r="J449" s="211">
        <v>-0.46483635661252398</v>
      </c>
      <c r="K449" s="288">
        <v>-130.154179851507</v>
      </c>
    </row>
    <row r="450" spans="2:11" x14ac:dyDescent="0.2">
      <c r="B450">
        <v>2</v>
      </c>
      <c r="C450">
        <v>874</v>
      </c>
      <c r="D450" s="308" t="s">
        <v>1022</v>
      </c>
      <c r="E450" s="291">
        <v>229</v>
      </c>
      <c r="F450" s="291">
        <v>58</v>
      </c>
      <c r="G450" s="291">
        <v>179</v>
      </c>
      <c r="H450" s="287">
        <v>0.25327510917030599</v>
      </c>
      <c r="I450" s="211">
        <v>1.6033519553072599</v>
      </c>
      <c r="J450" s="211">
        <v>-0.50417404098635998</v>
      </c>
      <c r="K450" s="288">
        <v>-115.455855385877</v>
      </c>
    </row>
    <row r="451" spans="2:11" x14ac:dyDescent="0.2">
      <c r="B451">
        <v>2</v>
      </c>
      <c r="C451">
        <v>875</v>
      </c>
      <c r="D451" s="308" t="s">
        <v>1023</v>
      </c>
      <c r="E451" s="291">
        <v>264</v>
      </c>
      <c r="F451" s="291">
        <v>56</v>
      </c>
      <c r="G451" s="291">
        <v>231</v>
      </c>
      <c r="H451" s="287">
        <v>0.21212121212121199</v>
      </c>
      <c r="I451" s="211">
        <v>1.3852813852813901</v>
      </c>
      <c r="J451" s="211">
        <v>-0.56178949269815304</v>
      </c>
      <c r="K451" s="288">
        <v>-148.31242607231201</v>
      </c>
    </row>
    <row r="452" spans="2:11" x14ac:dyDescent="0.2">
      <c r="B452">
        <v>2</v>
      </c>
      <c r="C452">
        <v>876</v>
      </c>
      <c r="D452" s="308" t="s">
        <v>1024</v>
      </c>
      <c r="E452" s="291">
        <v>1385</v>
      </c>
      <c r="F452" s="291">
        <v>283</v>
      </c>
      <c r="G452" s="291">
        <v>289</v>
      </c>
      <c r="H452" s="287">
        <v>0.20433212996389899</v>
      </c>
      <c r="I452" s="211">
        <v>5.7716262975778498</v>
      </c>
      <c r="J452" s="211">
        <v>-0.36857193788243098</v>
      </c>
      <c r="K452" s="288">
        <v>-510.472133967167</v>
      </c>
    </row>
    <row r="453" spans="2:11" x14ac:dyDescent="0.2">
      <c r="B453">
        <v>2</v>
      </c>
      <c r="C453">
        <v>877</v>
      </c>
      <c r="D453" s="308" t="s">
        <v>1025</v>
      </c>
      <c r="E453" s="291">
        <v>474</v>
      </c>
      <c r="F453" s="291">
        <v>158</v>
      </c>
      <c r="G453" s="291">
        <v>719</v>
      </c>
      <c r="H453" s="287">
        <v>0.33333333333333298</v>
      </c>
      <c r="I453" s="211">
        <v>0.87899860917941597</v>
      </c>
      <c r="J453" s="211">
        <v>-0.422035619663718</v>
      </c>
      <c r="K453" s="288">
        <v>-200.044883720602</v>
      </c>
    </row>
    <row r="454" spans="2:11" x14ac:dyDescent="0.2">
      <c r="B454">
        <v>2</v>
      </c>
      <c r="C454">
        <v>878</v>
      </c>
      <c r="D454" s="308" t="s">
        <v>1026</v>
      </c>
      <c r="E454" s="291">
        <v>299</v>
      </c>
      <c r="F454" s="291">
        <v>106</v>
      </c>
      <c r="G454" s="291">
        <v>272</v>
      </c>
      <c r="H454" s="287">
        <v>0.35451505016722401</v>
      </c>
      <c r="I454" s="211">
        <v>1.4889705882352899</v>
      </c>
      <c r="J454" s="211">
        <v>-0.38021970035331598</v>
      </c>
      <c r="K454" s="288">
        <v>-113.685690405641</v>
      </c>
    </row>
    <row r="455" spans="2:11" x14ac:dyDescent="0.2">
      <c r="B455">
        <v>2</v>
      </c>
      <c r="C455">
        <v>879</v>
      </c>
      <c r="D455" s="308" t="s">
        <v>1027</v>
      </c>
      <c r="E455" s="291">
        <v>2456</v>
      </c>
      <c r="F455" s="291">
        <v>1610</v>
      </c>
      <c r="G455" s="291">
        <v>2969</v>
      </c>
      <c r="H455" s="287">
        <v>0.65553745928338802</v>
      </c>
      <c r="I455" s="211">
        <v>1.36948467497474</v>
      </c>
      <c r="J455" s="211">
        <v>7.0854834807758199E-2</v>
      </c>
      <c r="K455" s="288">
        <v>174.019474287854</v>
      </c>
    </row>
    <row r="456" spans="2:11" x14ac:dyDescent="0.2">
      <c r="B456">
        <v>2</v>
      </c>
      <c r="C456">
        <v>880</v>
      </c>
      <c r="D456" s="308" t="s">
        <v>1028</v>
      </c>
      <c r="E456" s="291">
        <v>1819</v>
      </c>
      <c r="F456" s="291">
        <v>653</v>
      </c>
      <c r="G456" s="291">
        <v>3515</v>
      </c>
      <c r="H456" s="287">
        <v>0.35898845519516198</v>
      </c>
      <c r="I456" s="211">
        <v>0.70327169274537704</v>
      </c>
      <c r="J456" s="211">
        <v>-0.34526440840745598</v>
      </c>
      <c r="K456" s="288">
        <v>-628.03595889316296</v>
      </c>
    </row>
    <row r="457" spans="2:11" x14ac:dyDescent="0.2">
      <c r="B457">
        <v>2</v>
      </c>
      <c r="C457">
        <v>881</v>
      </c>
      <c r="D457" s="308" t="s">
        <v>1029</v>
      </c>
      <c r="E457" s="291">
        <v>434</v>
      </c>
      <c r="F457" s="291">
        <v>146</v>
      </c>
      <c r="G457" s="291">
        <v>467</v>
      </c>
      <c r="H457" s="287">
        <v>0.33640552995391698</v>
      </c>
      <c r="I457" s="211">
        <v>1.2419700214132801</v>
      </c>
      <c r="J457" s="211">
        <v>-0.40651395635174398</v>
      </c>
      <c r="K457" s="288">
        <v>-176.42705705665699</v>
      </c>
    </row>
    <row r="458" spans="2:11" x14ac:dyDescent="0.2">
      <c r="B458">
        <v>2</v>
      </c>
      <c r="C458">
        <v>883</v>
      </c>
      <c r="D458" s="308" t="s">
        <v>1030</v>
      </c>
      <c r="E458" s="291">
        <v>2194</v>
      </c>
      <c r="F458" s="291">
        <v>627</v>
      </c>
      <c r="G458" s="291">
        <v>390</v>
      </c>
      <c r="H458" s="287">
        <v>0.285779398359161</v>
      </c>
      <c r="I458" s="211">
        <v>7.2333333333333298</v>
      </c>
      <c r="J458" s="211">
        <v>-0.18340326199680901</v>
      </c>
      <c r="K458" s="288">
        <v>-402.38675682100001</v>
      </c>
    </row>
    <row r="459" spans="2:11" x14ac:dyDescent="0.2">
      <c r="B459">
        <v>2</v>
      </c>
      <c r="C459">
        <v>884</v>
      </c>
      <c r="D459" s="308" t="s">
        <v>1031</v>
      </c>
      <c r="E459" s="291">
        <v>2553</v>
      </c>
      <c r="F459" s="291">
        <v>496</v>
      </c>
      <c r="G459" s="291">
        <v>482</v>
      </c>
      <c r="H459" s="287">
        <v>0.19428123775949899</v>
      </c>
      <c r="I459" s="211">
        <v>6.3257261410788397</v>
      </c>
      <c r="J459" s="211">
        <v>-0.31618153672039101</v>
      </c>
      <c r="K459" s="288">
        <v>-807.21146324715801</v>
      </c>
    </row>
    <row r="460" spans="2:11" x14ac:dyDescent="0.2">
      <c r="B460">
        <v>2</v>
      </c>
      <c r="C460">
        <v>885</v>
      </c>
      <c r="D460" s="308" t="s">
        <v>1032</v>
      </c>
      <c r="E460" s="291">
        <v>1959</v>
      </c>
      <c r="F460" s="291">
        <v>299</v>
      </c>
      <c r="G460" s="291">
        <v>370</v>
      </c>
      <c r="H460" s="287">
        <v>0.15262889229198601</v>
      </c>
      <c r="I460" s="211">
        <v>6.1027027027027003</v>
      </c>
      <c r="J460" s="211">
        <v>-0.398629110572773</v>
      </c>
      <c r="K460" s="288">
        <v>-780.91442761206304</v>
      </c>
    </row>
    <row r="461" spans="2:11" x14ac:dyDescent="0.2">
      <c r="B461">
        <v>2</v>
      </c>
      <c r="C461">
        <v>886</v>
      </c>
      <c r="D461" s="308" t="s">
        <v>1033</v>
      </c>
      <c r="E461" s="291">
        <v>2869</v>
      </c>
      <c r="F461" s="291">
        <v>1081</v>
      </c>
      <c r="G461" s="291">
        <v>1424</v>
      </c>
      <c r="H461" s="287">
        <v>0.37678633670268402</v>
      </c>
      <c r="I461" s="211">
        <v>2.7738764044943802</v>
      </c>
      <c r="J461" s="211">
        <v>-0.207543532517414</v>
      </c>
      <c r="K461" s="288">
        <v>-595.44239479246005</v>
      </c>
    </row>
    <row r="462" spans="2:11" x14ac:dyDescent="0.2">
      <c r="B462">
        <v>2</v>
      </c>
      <c r="C462">
        <v>888</v>
      </c>
      <c r="D462" s="308" t="s">
        <v>1034</v>
      </c>
      <c r="E462" s="291">
        <v>1183</v>
      </c>
      <c r="F462" s="291">
        <v>612</v>
      </c>
      <c r="G462" s="291">
        <v>1329</v>
      </c>
      <c r="H462" s="287">
        <v>0.51732882502113298</v>
      </c>
      <c r="I462" s="211">
        <v>1.3506395786305501</v>
      </c>
      <c r="J462" s="211">
        <v>-0.149736571718914</v>
      </c>
      <c r="K462" s="288">
        <v>-177.13836434347499</v>
      </c>
    </row>
    <row r="463" spans="2:11" x14ac:dyDescent="0.2">
      <c r="B463">
        <v>2</v>
      </c>
      <c r="C463">
        <v>901</v>
      </c>
      <c r="D463" s="308" t="s">
        <v>1035</v>
      </c>
      <c r="E463" s="291">
        <v>2458</v>
      </c>
      <c r="F463" s="291">
        <v>1280</v>
      </c>
      <c r="G463" s="291">
        <v>5927</v>
      </c>
      <c r="H463" s="287">
        <v>0.52074857607811198</v>
      </c>
      <c r="I463" s="211">
        <v>0.63067319048422499</v>
      </c>
      <c r="J463" s="211">
        <v>-0.123049986058257</v>
      </c>
      <c r="K463" s="288">
        <v>-302.45686573119502</v>
      </c>
    </row>
    <row r="464" spans="2:11" x14ac:dyDescent="0.2">
      <c r="B464">
        <v>2</v>
      </c>
      <c r="C464">
        <v>902</v>
      </c>
      <c r="D464" s="308" t="s">
        <v>1036</v>
      </c>
      <c r="E464" s="291">
        <v>9241</v>
      </c>
      <c r="F464" s="291">
        <v>6035</v>
      </c>
      <c r="G464" s="291">
        <v>4815</v>
      </c>
      <c r="H464" s="287">
        <v>0.65306784979980503</v>
      </c>
      <c r="I464" s="211">
        <v>3.1725856697819301</v>
      </c>
      <c r="J464" s="211">
        <v>0.39283234225797198</v>
      </c>
      <c r="K464" s="288">
        <v>3630.16367480592</v>
      </c>
    </row>
    <row r="465" spans="2:11" x14ac:dyDescent="0.2">
      <c r="B465">
        <v>2</v>
      </c>
      <c r="C465">
        <v>903</v>
      </c>
      <c r="D465" s="308" t="s">
        <v>1037</v>
      </c>
      <c r="E465" s="291">
        <v>2604</v>
      </c>
      <c r="F465" s="291">
        <v>1359</v>
      </c>
      <c r="G465" s="291">
        <v>2101</v>
      </c>
      <c r="H465" s="287">
        <v>0.52188940092165903</v>
      </c>
      <c r="I465" s="211">
        <v>1.8862446454069499</v>
      </c>
      <c r="J465" s="211">
        <v>-7.0247953043218597E-2</v>
      </c>
      <c r="K465" s="288">
        <v>-182.925669724541</v>
      </c>
    </row>
    <row r="466" spans="2:11" x14ac:dyDescent="0.2">
      <c r="B466">
        <v>2</v>
      </c>
      <c r="C466">
        <v>904</v>
      </c>
      <c r="D466" s="308" t="s">
        <v>1038</v>
      </c>
      <c r="E466" s="291">
        <v>1183</v>
      </c>
      <c r="F466" s="291">
        <v>570</v>
      </c>
      <c r="G466" s="291">
        <v>3647</v>
      </c>
      <c r="H466" s="287">
        <v>0.48182586644125103</v>
      </c>
      <c r="I466" s="211">
        <v>0.48066904304908098</v>
      </c>
      <c r="J466" s="211">
        <v>-0.225471618021545</v>
      </c>
      <c r="K466" s="288">
        <v>-266.732924119487</v>
      </c>
    </row>
    <row r="467" spans="2:11" x14ac:dyDescent="0.2">
      <c r="B467">
        <v>2</v>
      </c>
      <c r="C467">
        <v>905</v>
      </c>
      <c r="D467" s="308" t="s">
        <v>1039</v>
      </c>
      <c r="E467" s="291">
        <v>2369</v>
      </c>
      <c r="F467" s="291">
        <v>846</v>
      </c>
      <c r="G467" s="291">
        <v>1706</v>
      </c>
      <c r="H467" s="287">
        <v>0.357112705783031</v>
      </c>
      <c r="I467" s="211">
        <v>1.8845252051582699</v>
      </c>
      <c r="J467" s="211">
        <v>-0.28347528571049702</v>
      </c>
      <c r="K467" s="288">
        <v>-671.55295184816703</v>
      </c>
    </row>
    <row r="468" spans="2:11" x14ac:dyDescent="0.2">
      <c r="B468">
        <v>2</v>
      </c>
      <c r="C468">
        <v>906</v>
      </c>
      <c r="D468" s="308" t="s">
        <v>1040</v>
      </c>
      <c r="E468" s="291">
        <v>909</v>
      </c>
      <c r="F468" s="291">
        <v>578</v>
      </c>
      <c r="G468" s="291">
        <v>3324</v>
      </c>
      <c r="H468" s="287">
        <v>0.63586358635863605</v>
      </c>
      <c r="I468" s="211">
        <v>0.44735258724428401</v>
      </c>
      <c r="J468" s="211">
        <v>-4.6278550251547299E-2</v>
      </c>
      <c r="K468" s="288">
        <v>-42.067202178656501</v>
      </c>
    </row>
    <row r="469" spans="2:11" x14ac:dyDescent="0.2">
      <c r="B469">
        <v>2</v>
      </c>
      <c r="C469">
        <v>907</v>
      </c>
      <c r="D469" s="308" t="s">
        <v>1041</v>
      </c>
      <c r="E469" s="291">
        <v>2737</v>
      </c>
      <c r="F469" s="291">
        <v>1003</v>
      </c>
      <c r="G469" s="291">
        <v>2193</v>
      </c>
      <c r="H469" s="287">
        <v>0.36645962732919302</v>
      </c>
      <c r="I469" s="211">
        <v>1.7054263565891501</v>
      </c>
      <c r="J469" s="211">
        <v>-0.26436628895567299</v>
      </c>
      <c r="K469" s="288">
        <v>-723.57053287167605</v>
      </c>
    </row>
    <row r="470" spans="2:11" x14ac:dyDescent="0.2">
      <c r="B470">
        <v>2</v>
      </c>
      <c r="C470">
        <v>908</v>
      </c>
      <c r="D470" s="308" t="s">
        <v>1042</v>
      </c>
      <c r="E470" s="291">
        <v>1350</v>
      </c>
      <c r="F470" s="291">
        <v>665</v>
      </c>
      <c r="G470" s="291">
        <v>6144</v>
      </c>
      <c r="H470" s="287">
        <v>0.49259259259259303</v>
      </c>
      <c r="I470" s="211">
        <v>0.32796223958333298</v>
      </c>
      <c r="J470" s="211">
        <v>-0.21132043450989901</v>
      </c>
      <c r="K470" s="288">
        <v>-285.28258658836302</v>
      </c>
    </row>
    <row r="471" spans="2:11" x14ac:dyDescent="0.2">
      <c r="B471">
        <v>2</v>
      </c>
      <c r="C471">
        <v>909</v>
      </c>
      <c r="D471" s="308" t="s">
        <v>1043</v>
      </c>
      <c r="E471" s="291">
        <v>1448</v>
      </c>
      <c r="F471" s="291">
        <v>1011</v>
      </c>
      <c r="G471" s="291">
        <v>1551</v>
      </c>
      <c r="H471" s="287">
        <v>0.69820441988950299</v>
      </c>
      <c r="I471" s="211">
        <v>1.5854287556415201</v>
      </c>
      <c r="J471" s="211">
        <v>9.3089821411222504E-2</v>
      </c>
      <c r="K471" s="288">
        <v>134.79406140345</v>
      </c>
    </row>
    <row r="472" spans="2:11" x14ac:dyDescent="0.2">
      <c r="B472">
        <v>2</v>
      </c>
      <c r="C472">
        <v>921</v>
      </c>
      <c r="D472" s="308" t="s">
        <v>1044</v>
      </c>
      <c r="E472" s="291">
        <v>802</v>
      </c>
      <c r="F472" s="291">
        <v>125</v>
      </c>
      <c r="G472" s="291">
        <v>422</v>
      </c>
      <c r="H472" s="287">
        <v>0.155860349127182</v>
      </c>
      <c r="I472" s="211">
        <v>2.1966824644549798</v>
      </c>
      <c r="J472" s="211">
        <v>-0.58134510826414199</v>
      </c>
      <c r="K472" s="288">
        <v>-466.238776827842</v>
      </c>
    </row>
    <row r="473" spans="2:11" x14ac:dyDescent="0.2">
      <c r="B473">
        <v>2</v>
      </c>
      <c r="C473">
        <v>922</v>
      </c>
      <c r="D473" s="308" t="s">
        <v>1045</v>
      </c>
      <c r="E473" s="291">
        <v>1209</v>
      </c>
      <c r="F473" s="291">
        <v>394</v>
      </c>
      <c r="G473" s="291">
        <v>1434</v>
      </c>
      <c r="H473" s="287">
        <v>0.32588916459884198</v>
      </c>
      <c r="I473" s="211">
        <v>1.11785216178522</v>
      </c>
      <c r="J473" s="211">
        <v>-0.394461585897464</v>
      </c>
      <c r="K473" s="288">
        <v>-476.90405735003401</v>
      </c>
    </row>
    <row r="474" spans="2:11" x14ac:dyDescent="0.2">
      <c r="B474">
        <v>2</v>
      </c>
      <c r="C474">
        <v>923</v>
      </c>
      <c r="D474" s="308" t="s">
        <v>1046</v>
      </c>
      <c r="E474" s="291">
        <v>1544</v>
      </c>
      <c r="F474" s="291">
        <v>542</v>
      </c>
      <c r="G474" s="291">
        <v>1512</v>
      </c>
      <c r="H474" s="287">
        <v>0.35103626943005201</v>
      </c>
      <c r="I474" s="211">
        <v>1.37962962962963</v>
      </c>
      <c r="J474" s="211">
        <v>-0.340949018424825</v>
      </c>
      <c r="K474" s="288">
        <v>-526.42528444793004</v>
      </c>
    </row>
    <row r="475" spans="2:11" x14ac:dyDescent="0.2">
      <c r="B475">
        <v>2</v>
      </c>
      <c r="C475">
        <v>924</v>
      </c>
      <c r="D475" s="308" t="s">
        <v>1047</v>
      </c>
      <c r="E475" s="291">
        <v>492</v>
      </c>
      <c r="F475" s="291">
        <v>178</v>
      </c>
      <c r="G475" s="291">
        <v>2027</v>
      </c>
      <c r="H475" s="287">
        <v>0.361788617886179</v>
      </c>
      <c r="I475" s="211">
        <v>0.330537740503207</v>
      </c>
      <c r="J475" s="211">
        <v>-0.40609778766620702</v>
      </c>
      <c r="K475" s="288">
        <v>-199.80011153177401</v>
      </c>
    </row>
    <row r="476" spans="2:11" x14ac:dyDescent="0.2">
      <c r="B476">
        <v>2</v>
      </c>
      <c r="C476">
        <v>925</v>
      </c>
      <c r="D476" s="308" t="s">
        <v>1048</v>
      </c>
      <c r="E476" s="291">
        <v>802</v>
      </c>
      <c r="F476" s="291">
        <v>203</v>
      </c>
      <c r="G476" s="291">
        <v>658</v>
      </c>
      <c r="H476" s="287">
        <v>0.25311720698254397</v>
      </c>
      <c r="I476" s="211">
        <v>1.5273556231003</v>
      </c>
      <c r="J476" s="211">
        <v>-0.48524842340973001</v>
      </c>
      <c r="K476" s="288">
        <v>-389.16923557460302</v>
      </c>
    </row>
    <row r="477" spans="2:11" x14ac:dyDescent="0.2">
      <c r="B477">
        <v>2</v>
      </c>
      <c r="C477">
        <v>927</v>
      </c>
      <c r="D477" s="308" t="s">
        <v>1049</v>
      </c>
      <c r="E477" s="291">
        <v>691</v>
      </c>
      <c r="F477" s="291">
        <v>545</v>
      </c>
      <c r="G477" s="291">
        <v>549</v>
      </c>
      <c r="H477" s="287">
        <v>0.78871201157742399</v>
      </c>
      <c r="I477" s="211">
        <v>2.25136612021858</v>
      </c>
      <c r="J477" s="211">
        <v>0.20061587672120601</v>
      </c>
      <c r="K477" s="288">
        <v>138.62557081435301</v>
      </c>
    </row>
    <row r="478" spans="2:11" x14ac:dyDescent="0.2">
      <c r="B478">
        <v>2</v>
      </c>
      <c r="C478">
        <v>928</v>
      </c>
      <c r="D478" s="308" t="s">
        <v>1050</v>
      </c>
      <c r="E478" s="291">
        <v>6691</v>
      </c>
      <c r="F478" s="291">
        <v>2448</v>
      </c>
      <c r="G478" s="291">
        <v>530</v>
      </c>
      <c r="H478" s="287">
        <v>0.36586459423105699</v>
      </c>
      <c r="I478" s="211">
        <v>17.243396226415101</v>
      </c>
      <c r="J478" s="211">
        <v>0.45288261704654698</v>
      </c>
      <c r="K478" s="288">
        <v>3030.2375906584498</v>
      </c>
    </row>
    <row r="479" spans="2:11" x14ac:dyDescent="0.2">
      <c r="B479">
        <v>2</v>
      </c>
      <c r="C479">
        <v>929</v>
      </c>
      <c r="D479" s="308" t="s">
        <v>1051</v>
      </c>
      <c r="E479" s="291">
        <v>4077</v>
      </c>
      <c r="F479" s="291">
        <v>934</v>
      </c>
      <c r="G479" s="291">
        <v>277</v>
      </c>
      <c r="H479" s="287">
        <v>0.22909001716948699</v>
      </c>
      <c r="I479" s="211">
        <v>18.0902527075812</v>
      </c>
      <c r="J479" s="211">
        <v>0.21441464322915699</v>
      </c>
      <c r="K479" s="288">
        <v>874.16850044527496</v>
      </c>
    </row>
    <row r="480" spans="2:11" x14ac:dyDescent="0.2">
      <c r="B480">
        <v>2</v>
      </c>
      <c r="C480">
        <v>931</v>
      </c>
      <c r="D480" s="308" t="s">
        <v>1052</v>
      </c>
      <c r="E480" s="291">
        <v>511</v>
      </c>
      <c r="F480" s="291">
        <v>163</v>
      </c>
      <c r="G480" s="291">
        <v>647</v>
      </c>
      <c r="H480" s="287">
        <v>0.31898238747553798</v>
      </c>
      <c r="I480" s="211">
        <v>1.0417310664605901</v>
      </c>
      <c r="J480" s="211">
        <v>-0.43246771993044902</v>
      </c>
      <c r="K480" s="288">
        <v>-220.99100488445899</v>
      </c>
    </row>
    <row r="481" spans="2:11" x14ac:dyDescent="0.2">
      <c r="B481">
        <v>2</v>
      </c>
      <c r="C481">
        <v>932</v>
      </c>
      <c r="D481" s="308" t="s">
        <v>1053</v>
      </c>
      <c r="E481" s="291">
        <v>236</v>
      </c>
      <c r="F481" s="291">
        <v>110</v>
      </c>
      <c r="G481" s="291">
        <v>1866</v>
      </c>
      <c r="H481" s="287">
        <v>0.46610169491525399</v>
      </c>
      <c r="I481" s="211">
        <v>0.18542336548767399</v>
      </c>
      <c r="J481" s="211">
        <v>-0.29191291417227799</v>
      </c>
      <c r="K481" s="288">
        <v>-68.891447744657498</v>
      </c>
    </row>
    <row r="482" spans="2:11" x14ac:dyDescent="0.2">
      <c r="B482">
        <v>2</v>
      </c>
      <c r="C482">
        <v>934</v>
      </c>
      <c r="D482" s="308" t="s">
        <v>1054</v>
      </c>
      <c r="E482" s="291">
        <v>2423</v>
      </c>
      <c r="F482" s="291">
        <v>769</v>
      </c>
      <c r="G482" s="291">
        <v>273</v>
      </c>
      <c r="H482" s="287">
        <v>0.31737515476681799</v>
      </c>
      <c r="I482" s="211">
        <v>11.692307692307701</v>
      </c>
      <c r="J482" s="211">
        <v>2.71856261981792E-2</v>
      </c>
      <c r="K482" s="288">
        <v>65.870772278188298</v>
      </c>
    </row>
    <row r="483" spans="2:11" x14ac:dyDescent="0.2">
      <c r="B483">
        <v>2</v>
      </c>
      <c r="C483">
        <v>935</v>
      </c>
      <c r="D483" s="308" t="s">
        <v>1055</v>
      </c>
      <c r="E483" s="291">
        <v>475</v>
      </c>
      <c r="F483" s="291">
        <v>245</v>
      </c>
      <c r="G483" s="291">
        <v>908</v>
      </c>
      <c r="H483" s="287">
        <v>0.51578947368421102</v>
      </c>
      <c r="I483" s="211">
        <v>0.79295154185021999</v>
      </c>
      <c r="J483" s="211">
        <v>-0.19904374715044701</v>
      </c>
      <c r="K483" s="288">
        <v>-94.545779896462307</v>
      </c>
    </row>
    <row r="484" spans="2:11" x14ac:dyDescent="0.2">
      <c r="B484">
        <v>2</v>
      </c>
      <c r="C484">
        <v>936</v>
      </c>
      <c r="D484" s="308" t="s">
        <v>1056</v>
      </c>
      <c r="E484" s="291">
        <v>257</v>
      </c>
      <c r="F484" s="291">
        <v>65</v>
      </c>
      <c r="G484" s="291">
        <v>840</v>
      </c>
      <c r="H484" s="287">
        <v>0.25291828793774301</v>
      </c>
      <c r="I484" s="211">
        <v>0.38333333333333303</v>
      </c>
      <c r="J484" s="211">
        <v>-0.54805896476228799</v>
      </c>
      <c r="K484" s="288">
        <v>-140.851153943908</v>
      </c>
    </row>
    <row r="485" spans="2:11" x14ac:dyDescent="0.2">
      <c r="B485">
        <v>2</v>
      </c>
      <c r="C485">
        <v>937</v>
      </c>
      <c r="D485" s="308" t="s">
        <v>1057</v>
      </c>
      <c r="E485" s="291">
        <v>247</v>
      </c>
      <c r="F485" s="291">
        <v>60</v>
      </c>
      <c r="G485" s="291">
        <v>153</v>
      </c>
      <c r="H485" s="287">
        <v>0.24291497975708501</v>
      </c>
      <c r="I485" s="211">
        <v>2.0065359477124201</v>
      </c>
      <c r="J485" s="211">
        <v>-0.50161392109343494</v>
      </c>
      <c r="K485" s="288">
        <v>-123.898638510078</v>
      </c>
    </row>
    <row r="486" spans="2:11" x14ac:dyDescent="0.2">
      <c r="B486">
        <v>2</v>
      </c>
      <c r="C486">
        <v>938</v>
      </c>
      <c r="D486" s="308" t="s">
        <v>1058</v>
      </c>
      <c r="E486" s="291">
        <v>4759</v>
      </c>
      <c r="F486" s="291">
        <v>1763</v>
      </c>
      <c r="G486" s="291">
        <v>5041</v>
      </c>
      <c r="H486" s="287">
        <v>0.37045597814666897</v>
      </c>
      <c r="I486" s="211">
        <v>1.29379091450109</v>
      </c>
      <c r="J486" s="211">
        <v>-0.19717321022432599</v>
      </c>
      <c r="K486" s="288">
        <v>-938.34730745756701</v>
      </c>
    </row>
    <row r="487" spans="2:11" x14ac:dyDescent="0.2">
      <c r="B487">
        <v>2</v>
      </c>
      <c r="C487">
        <v>939</v>
      </c>
      <c r="D487" s="308" t="s">
        <v>1059</v>
      </c>
      <c r="E487" s="291">
        <v>15783</v>
      </c>
      <c r="F487" s="291">
        <v>6255</v>
      </c>
      <c r="G487" s="291">
        <v>1321</v>
      </c>
      <c r="H487" s="287">
        <v>0.39631248812012898</v>
      </c>
      <c r="I487" s="211">
        <v>16.6828160484481</v>
      </c>
      <c r="J487" s="211">
        <v>0.81756016987010205</v>
      </c>
      <c r="K487" s="288">
        <v>12903.552161059801</v>
      </c>
    </row>
    <row r="488" spans="2:11" x14ac:dyDescent="0.2">
      <c r="B488">
        <v>2</v>
      </c>
      <c r="C488">
        <v>940</v>
      </c>
      <c r="D488" s="308" t="s">
        <v>1060</v>
      </c>
      <c r="E488" s="291">
        <v>156</v>
      </c>
      <c r="F488" s="291">
        <v>79</v>
      </c>
      <c r="G488" s="291">
        <v>453</v>
      </c>
      <c r="H488" s="287">
        <v>0.50641025641025605</v>
      </c>
      <c r="I488" s="211">
        <v>0.51876379690949204</v>
      </c>
      <c r="J488" s="211">
        <v>-0.23285875364175701</v>
      </c>
      <c r="K488" s="288">
        <v>-36.3259655681141</v>
      </c>
    </row>
    <row r="489" spans="2:11" x14ac:dyDescent="0.2">
      <c r="B489">
        <v>2</v>
      </c>
      <c r="C489">
        <v>941</v>
      </c>
      <c r="D489" s="308" t="s">
        <v>1061</v>
      </c>
      <c r="E489" s="291">
        <v>2426</v>
      </c>
      <c r="F489" s="291">
        <v>418</v>
      </c>
      <c r="G489" s="291">
        <v>726</v>
      </c>
      <c r="H489" s="287">
        <v>0.17230008244023101</v>
      </c>
      <c r="I489" s="211">
        <v>3.9173553719008298</v>
      </c>
      <c r="J489" s="211">
        <v>-0.43614229885217398</v>
      </c>
      <c r="K489" s="288">
        <v>-1058.0812170153699</v>
      </c>
    </row>
    <row r="490" spans="2:11" x14ac:dyDescent="0.2">
      <c r="B490">
        <v>2</v>
      </c>
      <c r="C490">
        <v>942</v>
      </c>
      <c r="D490" s="308" t="s">
        <v>1062</v>
      </c>
      <c r="E490" s="291">
        <v>43568</v>
      </c>
      <c r="F490" s="291">
        <v>28203</v>
      </c>
      <c r="G490" s="291">
        <v>2114</v>
      </c>
      <c r="H490" s="287">
        <v>0.64733290488431905</v>
      </c>
      <c r="I490" s="211">
        <v>33.950331125827802</v>
      </c>
      <c r="J490" s="211">
        <v>2.8202745988350699</v>
      </c>
      <c r="K490" s="288">
        <v>122873.72372204599</v>
      </c>
    </row>
    <row r="491" spans="2:11" x14ac:dyDescent="0.2">
      <c r="B491">
        <v>2</v>
      </c>
      <c r="C491">
        <v>943</v>
      </c>
      <c r="D491" s="308" t="s">
        <v>1063</v>
      </c>
      <c r="E491" s="291">
        <v>667</v>
      </c>
      <c r="F491" s="291">
        <v>150</v>
      </c>
      <c r="G491" s="291">
        <v>439</v>
      </c>
      <c r="H491" s="287">
        <v>0.224887556221889</v>
      </c>
      <c r="I491" s="211">
        <v>1.86104783599089</v>
      </c>
      <c r="J491" s="211">
        <v>-0.51321304434633497</v>
      </c>
      <c r="K491" s="288">
        <v>-342.31310057900498</v>
      </c>
    </row>
    <row r="492" spans="2:11" x14ac:dyDescent="0.2">
      <c r="B492">
        <v>2</v>
      </c>
      <c r="C492">
        <v>944</v>
      </c>
      <c r="D492" s="308" t="s">
        <v>1064</v>
      </c>
      <c r="E492" s="291">
        <v>6006</v>
      </c>
      <c r="F492" s="291">
        <v>3320</v>
      </c>
      <c r="G492" s="291">
        <v>1014</v>
      </c>
      <c r="H492" s="287">
        <v>0.55278055278055305</v>
      </c>
      <c r="I492" s="211">
        <v>9.1972386587771204</v>
      </c>
      <c r="J492" s="211">
        <v>0.36476298133862001</v>
      </c>
      <c r="K492" s="288">
        <v>2190.7664659197499</v>
      </c>
    </row>
    <row r="493" spans="2:11" x14ac:dyDescent="0.2">
      <c r="B493">
        <v>2</v>
      </c>
      <c r="C493">
        <v>945</v>
      </c>
      <c r="D493" s="308" t="s">
        <v>1065</v>
      </c>
      <c r="E493" s="291">
        <v>973</v>
      </c>
      <c r="F493" s="291">
        <v>356</v>
      </c>
      <c r="G493" s="291">
        <v>679</v>
      </c>
      <c r="H493" s="287">
        <v>0.36587872559095602</v>
      </c>
      <c r="I493" s="211">
        <v>1.95729013254786</v>
      </c>
      <c r="J493" s="211">
        <v>-0.32329832440648798</v>
      </c>
      <c r="K493" s="288">
        <v>-314.56926964751301</v>
      </c>
    </row>
    <row r="494" spans="2:11" x14ac:dyDescent="0.2">
      <c r="B494">
        <v>2</v>
      </c>
      <c r="C494">
        <v>946</v>
      </c>
      <c r="D494" s="308" t="s">
        <v>1066</v>
      </c>
      <c r="E494" s="291">
        <v>233</v>
      </c>
      <c r="F494" s="291">
        <v>78</v>
      </c>
      <c r="G494" s="291">
        <v>353</v>
      </c>
      <c r="H494" s="287">
        <v>0.33476394849785401</v>
      </c>
      <c r="I494" s="211">
        <v>0.88101983002832895</v>
      </c>
      <c r="J494" s="211">
        <v>-0.42939759013465301</v>
      </c>
      <c r="K494" s="288">
        <v>-100.04963850137401</v>
      </c>
    </row>
    <row r="495" spans="2:11" x14ac:dyDescent="0.2">
      <c r="B495">
        <v>2</v>
      </c>
      <c r="C495">
        <v>947</v>
      </c>
      <c r="D495" s="308" t="s">
        <v>1067</v>
      </c>
      <c r="E495" s="291">
        <v>319</v>
      </c>
      <c r="F495" s="291">
        <v>95</v>
      </c>
      <c r="G495" s="291">
        <v>242</v>
      </c>
      <c r="H495" s="287">
        <v>0.29780564263322901</v>
      </c>
      <c r="I495" s="211">
        <v>1.71074380165289</v>
      </c>
      <c r="J495" s="211">
        <v>-0.44163633465935298</v>
      </c>
      <c r="K495" s="288">
        <v>-140.88199075633301</v>
      </c>
    </row>
    <row r="496" spans="2:11" x14ac:dyDescent="0.2">
      <c r="B496">
        <v>2</v>
      </c>
      <c r="C496">
        <v>948</v>
      </c>
      <c r="D496" s="308" t="s">
        <v>1068</v>
      </c>
      <c r="E496" s="291">
        <v>781</v>
      </c>
      <c r="F496" s="291">
        <v>198</v>
      </c>
      <c r="G496" s="291">
        <v>440</v>
      </c>
      <c r="H496" s="287">
        <v>0.25352112676056299</v>
      </c>
      <c r="I496" s="211">
        <v>2.2250000000000001</v>
      </c>
      <c r="J496" s="211">
        <v>-0.46009660164386301</v>
      </c>
      <c r="K496" s="288">
        <v>-359.33544588385701</v>
      </c>
    </row>
    <row r="497" spans="2:11" x14ac:dyDescent="0.2">
      <c r="B497">
        <v>2</v>
      </c>
      <c r="C497">
        <v>951</v>
      </c>
      <c r="D497" s="308" t="s">
        <v>1069</v>
      </c>
      <c r="E497" s="291">
        <v>1133</v>
      </c>
      <c r="F497" s="291">
        <v>529</v>
      </c>
      <c r="G497" s="291">
        <v>1142</v>
      </c>
      <c r="H497" s="287">
        <v>0.46690203000882602</v>
      </c>
      <c r="I497" s="211">
        <v>1.4553415061296</v>
      </c>
      <c r="J497" s="211">
        <v>-0.21031405049186699</v>
      </c>
      <c r="K497" s="288">
        <v>-238.28581920728601</v>
      </c>
    </row>
    <row r="498" spans="2:11" x14ac:dyDescent="0.2">
      <c r="B498">
        <v>2</v>
      </c>
      <c r="C498">
        <v>952</v>
      </c>
      <c r="D498" s="308" t="s">
        <v>1070</v>
      </c>
      <c r="E498" s="291">
        <v>1061</v>
      </c>
      <c r="F498" s="291">
        <v>433</v>
      </c>
      <c r="G498" s="291">
        <v>1402</v>
      </c>
      <c r="H498" s="287">
        <v>0.40810556079170601</v>
      </c>
      <c r="I498" s="211">
        <v>1.06562054208274</v>
      </c>
      <c r="J498" s="211">
        <v>-0.30014265808492901</v>
      </c>
      <c r="K498" s="288">
        <v>-318.45136022810999</v>
      </c>
    </row>
    <row r="499" spans="2:11" x14ac:dyDescent="0.2">
      <c r="B499">
        <v>2</v>
      </c>
      <c r="C499">
        <v>953</v>
      </c>
      <c r="D499" s="308" t="s">
        <v>1071</v>
      </c>
      <c r="E499" s="291">
        <v>1407</v>
      </c>
      <c r="F499" s="291">
        <v>450</v>
      </c>
      <c r="G499" s="291">
        <v>1127</v>
      </c>
      <c r="H499" s="287">
        <v>0.31982942430703598</v>
      </c>
      <c r="I499" s="211">
        <v>1.64773735581189</v>
      </c>
      <c r="J499" s="211">
        <v>-0.37507215422448398</v>
      </c>
      <c r="K499" s="288">
        <v>-527.726520993848</v>
      </c>
    </row>
    <row r="500" spans="2:11" x14ac:dyDescent="0.2">
      <c r="B500">
        <v>2</v>
      </c>
      <c r="C500">
        <v>954</v>
      </c>
      <c r="D500" s="308" t="s">
        <v>1072</v>
      </c>
      <c r="E500" s="291">
        <v>4835</v>
      </c>
      <c r="F500" s="291">
        <v>3148</v>
      </c>
      <c r="G500" s="291">
        <v>1726</v>
      </c>
      <c r="H500" s="287">
        <v>0.65108583247156104</v>
      </c>
      <c r="I500" s="211">
        <v>4.6251448435689504</v>
      </c>
      <c r="J500" s="211">
        <v>0.27502229323772998</v>
      </c>
      <c r="K500" s="288">
        <v>1329.73278780442</v>
      </c>
    </row>
    <row r="501" spans="2:11" x14ac:dyDescent="0.2">
      <c r="B501">
        <v>2</v>
      </c>
      <c r="C501">
        <v>955</v>
      </c>
      <c r="D501" s="308" t="s">
        <v>1073</v>
      </c>
      <c r="E501" s="291">
        <v>4092</v>
      </c>
      <c r="F501" s="291">
        <v>1622</v>
      </c>
      <c r="G501" s="291">
        <v>2662</v>
      </c>
      <c r="H501" s="287">
        <v>0.396383186705767</v>
      </c>
      <c r="I501" s="211">
        <v>2.14650638617581</v>
      </c>
      <c r="J501" s="211">
        <v>-0.15941936073851301</v>
      </c>
      <c r="K501" s="288">
        <v>-652.34402414199599</v>
      </c>
    </row>
    <row r="502" spans="2:11" x14ac:dyDescent="0.2">
      <c r="B502">
        <v>2</v>
      </c>
      <c r="C502">
        <v>956</v>
      </c>
      <c r="D502" s="308" t="s">
        <v>1074</v>
      </c>
      <c r="E502" s="291">
        <v>3202</v>
      </c>
      <c r="F502" s="291">
        <v>1283</v>
      </c>
      <c r="G502" s="291">
        <v>1490</v>
      </c>
      <c r="H502" s="287">
        <v>0.40068707058088698</v>
      </c>
      <c r="I502" s="211">
        <v>3.0100671140939599</v>
      </c>
      <c r="J502" s="211">
        <v>-0.15658538029060301</v>
      </c>
      <c r="K502" s="288">
        <v>-501.38638769050903</v>
      </c>
    </row>
    <row r="503" spans="2:11" x14ac:dyDescent="0.2">
      <c r="B503">
        <v>2</v>
      </c>
      <c r="C503">
        <v>957</v>
      </c>
      <c r="D503" s="308" t="s">
        <v>1075</v>
      </c>
      <c r="E503" s="291">
        <v>5021</v>
      </c>
      <c r="F503" s="291">
        <v>2974</v>
      </c>
      <c r="G503" s="291">
        <v>5892</v>
      </c>
      <c r="H503" s="287">
        <v>0.59231228838876704</v>
      </c>
      <c r="I503" s="211">
        <v>1.3569246435845199</v>
      </c>
      <c r="J503" s="211">
        <v>9.0057503677753295E-2</v>
      </c>
      <c r="K503" s="288">
        <v>452.17872596599898</v>
      </c>
    </row>
    <row r="504" spans="2:11" x14ac:dyDescent="0.2">
      <c r="B504">
        <v>2</v>
      </c>
      <c r="C504">
        <v>958</v>
      </c>
      <c r="D504" s="308" t="s">
        <v>1076</v>
      </c>
      <c r="E504" s="291">
        <v>971</v>
      </c>
      <c r="F504" s="291">
        <v>381</v>
      </c>
      <c r="G504" s="291">
        <v>1593</v>
      </c>
      <c r="H504" s="287">
        <v>0.39237899073120502</v>
      </c>
      <c r="I504" s="211">
        <v>0.848713119899561</v>
      </c>
      <c r="J504" s="211">
        <v>-0.330983223788471</v>
      </c>
      <c r="K504" s="288">
        <v>-321.384710298605</v>
      </c>
    </row>
    <row r="505" spans="2:11" x14ac:dyDescent="0.2">
      <c r="B505">
        <v>2</v>
      </c>
      <c r="C505">
        <v>959</v>
      </c>
      <c r="D505" s="308" t="s">
        <v>1077</v>
      </c>
      <c r="E505" s="291">
        <v>546</v>
      </c>
      <c r="F505" s="291">
        <v>209</v>
      </c>
      <c r="G505" s="291">
        <v>793</v>
      </c>
      <c r="H505" s="287">
        <v>0.38278388278388298</v>
      </c>
      <c r="I505" s="211">
        <v>0.95208070617906704</v>
      </c>
      <c r="J505" s="211">
        <v>-0.35534077458254199</v>
      </c>
      <c r="K505" s="288">
        <v>-194.01606292206799</v>
      </c>
    </row>
    <row r="506" spans="2:11" x14ac:dyDescent="0.2">
      <c r="B506">
        <v>2</v>
      </c>
      <c r="C506">
        <v>960</v>
      </c>
      <c r="D506" s="308" t="s">
        <v>1078</v>
      </c>
      <c r="E506" s="291">
        <v>1146</v>
      </c>
      <c r="F506" s="291">
        <v>546</v>
      </c>
      <c r="G506" s="291">
        <v>1169</v>
      </c>
      <c r="H506" s="287">
        <v>0.47643979057591601</v>
      </c>
      <c r="I506" s="211">
        <v>1.44739093242087</v>
      </c>
      <c r="J506" s="211">
        <v>-0.19828855473910101</v>
      </c>
      <c r="K506" s="288">
        <v>-227.23868373100899</v>
      </c>
    </row>
    <row r="507" spans="2:11" x14ac:dyDescent="0.2">
      <c r="B507">
        <v>2</v>
      </c>
      <c r="C507">
        <v>971</v>
      </c>
      <c r="D507" s="308" t="s">
        <v>1079</v>
      </c>
      <c r="E507" s="291">
        <v>1428</v>
      </c>
      <c r="F507" s="291">
        <v>382</v>
      </c>
      <c r="G507" s="291">
        <v>762</v>
      </c>
      <c r="H507" s="287">
        <v>0.26750700280112</v>
      </c>
      <c r="I507" s="211">
        <v>2.3753280839894999</v>
      </c>
      <c r="J507" s="211">
        <v>-0.41255952781768401</v>
      </c>
      <c r="K507" s="288">
        <v>-589.13500572365297</v>
      </c>
    </row>
    <row r="508" spans="2:11" x14ac:dyDescent="0.2">
      <c r="B508">
        <v>2</v>
      </c>
      <c r="C508">
        <v>972</v>
      </c>
      <c r="D508" s="308" t="s">
        <v>1080</v>
      </c>
      <c r="E508" s="291">
        <v>43</v>
      </c>
      <c r="F508" s="291">
        <v>49</v>
      </c>
      <c r="G508" s="291">
        <v>133</v>
      </c>
      <c r="H508" s="287">
        <v>1.13953488372093</v>
      </c>
      <c r="I508" s="211">
        <v>0.69172932330827097</v>
      </c>
      <c r="J508" s="211">
        <v>0.55367959890520602</v>
      </c>
      <c r="K508" s="288">
        <v>23.8082227529239</v>
      </c>
    </row>
    <row r="509" spans="2:11" x14ac:dyDescent="0.2">
      <c r="B509">
        <v>2</v>
      </c>
      <c r="C509">
        <v>973</v>
      </c>
      <c r="D509" s="308" t="s">
        <v>1081</v>
      </c>
      <c r="E509" s="291">
        <v>645</v>
      </c>
      <c r="F509" s="291">
        <v>122</v>
      </c>
      <c r="G509" s="291">
        <v>395</v>
      </c>
      <c r="H509" s="287">
        <v>0.18914728682170501</v>
      </c>
      <c r="I509" s="211">
        <v>1.9417721518987301</v>
      </c>
      <c r="J509" s="211">
        <v>-0.55539647002231296</v>
      </c>
      <c r="K509" s="288">
        <v>-358.23072316439197</v>
      </c>
    </row>
    <row r="510" spans="2:11" x14ac:dyDescent="0.2">
      <c r="B510">
        <v>2</v>
      </c>
      <c r="C510">
        <v>975</v>
      </c>
      <c r="D510" s="308" t="s">
        <v>1082</v>
      </c>
      <c r="E510" s="291">
        <v>208</v>
      </c>
      <c r="F510" s="291">
        <v>61</v>
      </c>
      <c r="G510" s="291">
        <v>365</v>
      </c>
      <c r="H510" s="287">
        <v>0.293269230769231</v>
      </c>
      <c r="I510" s="211">
        <v>0.73698630136986298</v>
      </c>
      <c r="J510" s="211">
        <v>-0.487026686193405</v>
      </c>
      <c r="K510" s="288">
        <v>-101.30155072822799</v>
      </c>
    </row>
    <row r="511" spans="2:11" x14ac:dyDescent="0.2">
      <c r="B511">
        <v>2</v>
      </c>
      <c r="C511">
        <v>976</v>
      </c>
      <c r="D511" s="308" t="s">
        <v>1083</v>
      </c>
      <c r="E511" s="291">
        <v>335</v>
      </c>
      <c r="F511" s="291">
        <v>56</v>
      </c>
      <c r="G511" s="291">
        <v>304</v>
      </c>
      <c r="H511" s="287">
        <v>0.16716417910447801</v>
      </c>
      <c r="I511" s="211">
        <v>1.2861842105263199</v>
      </c>
      <c r="J511" s="211">
        <v>-0.618401344603426</v>
      </c>
      <c r="K511" s="288">
        <v>-207.164450442148</v>
      </c>
    </row>
    <row r="512" spans="2:11" x14ac:dyDescent="0.2">
      <c r="B512">
        <v>2</v>
      </c>
      <c r="C512">
        <v>977</v>
      </c>
      <c r="D512" s="308" t="s">
        <v>1084</v>
      </c>
      <c r="E512" s="291">
        <v>1099</v>
      </c>
      <c r="F512" s="291">
        <v>181</v>
      </c>
      <c r="G512" s="291">
        <v>582</v>
      </c>
      <c r="H512" s="287">
        <v>0.164695177434031</v>
      </c>
      <c r="I512" s="211">
        <v>2.1993127147766298</v>
      </c>
      <c r="J512" s="211">
        <v>-0.55895312810130604</v>
      </c>
      <c r="K512" s="288">
        <v>-614.28948778333495</v>
      </c>
    </row>
    <row r="513" spans="2:11" x14ac:dyDescent="0.2">
      <c r="B513">
        <v>2</v>
      </c>
      <c r="C513">
        <v>979</v>
      </c>
      <c r="D513" s="308" t="s">
        <v>1085</v>
      </c>
      <c r="E513" s="291">
        <v>6998</v>
      </c>
      <c r="F513" s="291">
        <v>3668</v>
      </c>
      <c r="G513" s="291">
        <v>979</v>
      </c>
      <c r="H513" s="287">
        <v>0.52414975707345002</v>
      </c>
      <c r="I513" s="211">
        <v>10.894790602655799</v>
      </c>
      <c r="J513" s="211">
        <v>0.42912404920546698</v>
      </c>
      <c r="K513" s="288">
        <v>3003.01009633986</v>
      </c>
    </row>
    <row r="514" spans="2:11" x14ac:dyDescent="0.2">
      <c r="B514">
        <v>2</v>
      </c>
      <c r="C514">
        <v>980</v>
      </c>
      <c r="D514" s="308" t="s">
        <v>1086</v>
      </c>
      <c r="E514" s="291">
        <v>617</v>
      </c>
      <c r="F514" s="291">
        <v>119</v>
      </c>
      <c r="G514" s="291">
        <v>330</v>
      </c>
      <c r="H514" s="287">
        <v>0.19286871961102101</v>
      </c>
      <c r="I514" s="211">
        <v>2.23030303030303</v>
      </c>
      <c r="J514" s="211">
        <v>-0.54132776098717705</v>
      </c>
      <c r="K514" s="288">
        <v>-333.99922852908799</v>
      </c>
    </row>
    <row r="515" spans="2:11" x14ac:dyDescent="0.2">
      <c r="B515">
        <v>2</v>
      </c>
      <c r="C515">
        <v>981</v>
      </c>
      <c r="D515" s="308" t="s">
        <v>1087</v>
      </c>
      <c r="E515" s="291">
        <v>4647</v>
      </c>
      <c r="F515" s="291">
        <v>2912</v>
      </c>
      <c r="G515" s="291">
        <v>1734</v>
      </c>
      <c r="H515" s="287">
        <v>0.62664084355498195</v>
      </c>
      <c r="I515" s="211">
        <v>4.3592848904267596</v>
      </c>
      <c r="J515" s="211">
        <v>0.22784760434085299</v>
      </c>
      <c r="K515" s="288">
        <v>1058.80781737195</v>
      </c>
    </row>
    <row r="516" spans="2:11" x14ac:dyDescent="0.2">
      <c r="B516">
        <v>2</v>
      </c>
      <c r="C516">
        <v>982</v>
      </c>
      <c r="D516" s="308" t="s">
        <v>1088</v>
      </c>
      <c r="E516" s="291">
        <v>1694</v>
      </c>
      <c r="F516" s="291">
        <v>793</v>
      </c>
      <c r="G516" s="291">
        <v>280</v>
      </c>
      <c r="H516" s="287">
        <v>0.46812278630460402</v>
      </c>
      <c r="I516" s="211">
        <v>8.8821428571428598</v>
      </c>
      <c r="J516" s="211">
        <v>8.3602544959263406E-2</v>
      </c>
      <c r="K516" s="288">
        <v>141.622711160992</v>
      </c>
    </row>
    <row r="517" spans="2:11" x14ac:dyDescent="0.2">
      <c r="B517">
        <v>2</v>
      </c>
      <c r="C517">
        <v>983</v>
      </c>
      <c r="D517" s="308" t="s">
        <v>1089</v>
      </c>
      <c r="E517" s="291">
        <v>1701</v>
      </c>
      <c r="F517" s="291">
        <v>829</v>
      </c>
      <c r="G517" s="291">
        <v>839</v>
      </c>
      <c r="H517" s="287">
        <v>0.48736037624926498</v>
      </c>
      <c r="I517" s="211">
        <v>3.0154946364719901</v>
      </c>
      <c r="J517" s="211">
        <v>-0.106337316688731</v>
      </c>
      <c r="K517" s="288">
        <v>-180.879775687532</v>
      </c>
    </row>
    <row r="518" spans="2:11" x14ac:dyDescent="0.2">
      <c r="B518">
        <v>2</v>
      </c>
      <c r="C518">
        <v>985</v>
      </c>
      <c r="D518" s="308" t="s">
        <v>1090</v>
      </c>
      <c r="E518" s="291">
        <v>561</v>
      </c>
      <c r="F518" s="291">
        <v>187</v>
      </c>
      <c r="G518" s="291">
        <v>1209</v>
      </c>
      <c r="H518" s="287">
        <v>0.33333333333333298</v>
      </c>
      <c r="I518" s="211">
        <v>0.61869313482216703</v>
      </c>
      <c r="J518" s="211">
        <v>-0.42820869426584102</v>
      </c>
      <c r="K518" s="288">
        <v>-240.225077483137</v>
      </c>
    </row>
    <row r="519" spans="2:11" x14ac:dyDescent="0.2">
      <c r="B519">
        <v>2</v>
      </c>
      <c r="C519">
        <v>987</v>
      </c>
      <c r="D519" s="308" t="s">
        <v>1091</v>
      </c>
      <c r="E519" s="291">
        <v>479</v>
      </c>
      <c r="F519" s="291">
        <v>71</v>
      </c>
      <c r="G519" s="291">
        <v>509</v>
      </c>
      <c r="H519" s="287">
        <v>0.14822546972860101</v>
      </c>
      <c r="I519" s="211">
        <v>1.0805500982318299</v>
      </c>
      <c r="J519" s="211">
        <v>-0.64386995330895502</v>
      </c>
      <c r="K519" s="288">
        <v>-308.41370763498998</v>
      </c>
    </row>
    <row r="520" spans="2:11" x14ac:dyDescent="0.2">
      <c r="B520">
        <v>2</v>
      </c>
      <c r="C520">
        <v>988</v>
      </c>
      <c r="D520" s="308" t="s">
        <v>1092</v>
      </c>
      <c r="E520" s="291">
        <v>1573</v>
      </c>
      <c r="F520" s="291">
        <v>473</v>
      </c>
      <c r="G520" s="291">
        <v>1669</v>
      </c>
      <c r="H520" s="287">
        <v>0.30069930069930101</v>
      </c>
      <c r="I520" s="211">
        <v>1.2258837627321799</v>
      </c>
      <c r="J520" s="211">
        <v>-0.407826160215016</v>
      </c>
      <c r="K520" s="288">
        <v>-641.51055001821999</v>
      </c>
    </row>
    <row r="521" spans="2:11" x14ac:dyDescent="0.2">
      <c r="B521">
        <v>2</v>
      </c>
      <c r="C521">
        <v>989</v>
      </c>
      <c r="D521" s="308" t="s">
        <v>1093</v>
      </c>
      <c r="E521" s="291">
        <v>1117</v>
      </c>
      <c r="F521" s="291">
        <v>354</v>
      </c>
      <c r="G521" s="291">
        <v>453</v>
      </c>
      <c r="H521" s="287">
        <v>0.31692032229185302</v>
      </c>
      <c r="I521" s="211">
        <v>3.2472406181015501</v>
      </c>
      <c r="J521" s="211">
        <v>-0.33139955177610902</v>
      </c>
      <c r="K521" s="288">
        <v>-370.17329933391397</v>
      </c>
    </row>
    <row r="522" spans="2:11" x14ac:dyDescent="0.2">
      <c r="B522">
        <v>2</v>
      </c>
      <c r="C522">
        <v>990</v>
      </c>
      <c r="D522" s="308" t="s">
        <v>1094</v>
      </c>
      <c r="E522" s="291">
        <v>211</v>
      </c>
      <c r="F522" s="291">
        <v>68</v>
      </c>
      <c r="G522" s="291">
        <v>133</v>
      </c>
      <c r="H522" s="287">
        <v>0.32227488151658801</v>
      </c>
      <c r="I522" s="211">
        <v>2.0977443609022601</v>
      </c>
      <c r="J522" s="211">
        <v>-0.401321759265514</v>
      </c>
      <c r="K522" s="288">
        <v>-84.678891205023405</v>
      </c>
    </row>
    <row r="523" spans="2:11" x14ac:dyDescent="0.2">
      <c r="B523">
        <v>2</v>
      </c>
      <c r="C523">
        <v>991</v>
      </c>
      <c r="D523" s="308" t="s">
        <v>1095</v>
      </c>
      <c r="E523" s="291">
        <v>594</v>
      </c>
      <c r="F523" s="291">
        <v>112</v>
      </c>
      <c r="G523" s="291">
        <v>293</v>
      </c>
      <c r="H523" s="287">
        <v>0.188552188552189</v>
      </c>
      <c r="I523" s="211">
        <v>2.4095563139931699</v>
      </c>
      <c r="J523" s="211">
        <v>-0.54101537661990096</v>
      </c>
      <c r="K523" s="288">
        <v>-321.36313371222099</v>
      </c>
    </row>
    <row r="524" spans="2:11" x14ac:dyDescent="0.2">
      <c r="B524">
        <v>2</v>
      </c>
      <c r="C524">
        <v>992</v>
      </c>
      <c r="D524" s="308" t="s">
        <v>1096</v>
      </c>
      <c r="E524" s="291">
        <v>2305</v>
      </c>
      <c r="F524" s="291">
        <v>1306</v>
      </c>
      <c r="G524" s="291">
        <v>481</v>
      </c>
      <c r="H524" s="287">
        <v>0.566594360086768</v>
      </c>
      <c r="I524" s="211">
        <v>7.5072765072765097</v>
      </c>
      <c r="J524" s="211">
        <v>0.178808694898071</v>
      </c>
      <c r="K524" s="288">
        <v>412.154041740053</v>
      </c>
    </row>
    <row r="525" spans="2:11" x14ac:dyDescent="0.2">
      <c r="B525">
        <v>2</v>
      </c>
      <c r="C525">
        <v>993</v>
      </c>
      <c r="D525" s="308" t="s">
        <v>1097</v>
      </c>
      <c r="E525" s="291">
        <v>426</v>
      </c>
      <c r="F525" s="291">
        <v>113</v>
      </c>
      <c r="G525" s="291">
        <v>286</v>
      </c>
      <c r="H525" s="287">
        <v>0.26525821596244098</v>
      </c>
      <c r="I525" s="211">
        <v>1.8846153846153799</v>
      </c>
      <c r="J525" s="211">
        <v>-0.47153578544458702</v>
      </c>
      <c r="K525" s="288">
        <v>-200.87424459939399</v>
      </c>
    </row>
    <row r="526" spans="2:11" x14ac:dyDescent="0.2">
      <c r="B526">
        <v>2</v>
      </c>
      <c r="C526">
        <v>995</v>
      </c>
      <c r="D526" s="308" t="s">
        <v>1098</v>
      </c>
      <c r="E526" s="291">
        <v>2325</v>
      </c>
      <c r="F526" s="291">
        <v>1233</v>
      </c>
      <c r="G526" s="291">
        <v>730</v>
      </c>
      <c r="H526" s="287">
        <v>0.53032258064516102</v>
      </c>
      <c r="I526" s="211">
        <v>4.8739726027397303</v>
      </c>
      <c r="J526" s="211">
        <v>3.8549564274928103E-2</v>
      </c>
      <c r="K526" s="288">
        <v>89.627736939207907</v>
      </c>
    </row>
    <row r="527" spans="2:11" x14ac:dyDescent="0.2">
      <c r="B527">
        <v>2</v>
      </c>
      <c r="C527">
        <v>996</v>
      </c>
      <c r="D527" s="308" t="s">
        <v>1099</v>
      </c>
      <c r="E527" s="291">
        <v>184</v>
      </c>
      <c r="F527" s="291">
        <v>39</v>
      </c>
      <c r="G527" s="291">
        <v>247</v>
      </c>
      <c r="H527" s="287">
        <v>0.21195652173912999</v>
      </c>
      <c r="I527" s="211">
        <v>0.90283400809716596</v>
      </c>
      <c r="J527" s="211">
        <v>-0.58265251986334499</v>
      </c>
      <c r="K527" s="288">
        <v>-107.208063654855</v>
      </c>
    </row>
    <row r="528" spans="2:11" x14ac:dyDescent="0.2">
      <c r="B528">
        <v>3</v>
      </c>
      <c r="C528">
        <v>1001</v>
      </c>
      <c r="D528" s="308" t="s">
        <v>1100</v>
      </c>
      <c r="E528" s="291">
        <v>767</v>
      </c>
      <c r="F528" s="291">
        <v>210</v>
      </c>
      <c r="G528" s="291">
        <v>678</v>
      </c>
      <c r="H528" s="287">
        <v>0.27379400260756198</v>
      </c>
      <c r="I528" s="211">
        <v>1.4410029498525101</v>
      </c>
      <c r="J528" s="211">
        <v>-0.46411440592501202</v>
      </c>
      <c r="K528" s="288">
        <v>-355.97574934448397</v>
      </c>
    </row>
    <row r="529" spans="2:11" x14ac:dyDescent="0.2">
      <c r="B529">
        <v>3</v>
      </c>
      <c r="C529">
        <v>1002</v>
      </c>
      <c r="D529" s="308" t="s">
        <v>1101</v>
      </c>
      <c r="E529" s="291">
        <v>3367</v>
      </c>
      <c r="F529" s="291">
        <v>1660</v>
      </c>
      <c r="G529" s="291">
        <v>5500</v>
      </c>
      <c r="H529" s="287">
        <v>0.493020493020493</v>
      </c>
      <c r="I529" s="211">
        <v>0.91400000000000003</v>
      </c>
      <c r="J529" s="211">
        <v>-0.112339988158889</v>
      </c>
      <c r="K529" s="288">
        <v>-378.24874013098099</v>
      </c>
    </row>
    <row r="530" spans="2:11" x14ac:dyDescent="0.2">
      <c r="B530">
        <v>3</v>
      </c>
      <c r="C530">
        <v>1004</v>
      </c>
      <c r="D530" s="308" t="s">
        <v>1102</v>
      </c>
      <c r="E530" s="291">
        <v>1937</v>
      </c>
      <c r="F530" s="291">
        <v>1022</v>
      </c>
      <c r="G530" s="291">
        <v>9247</v>
      </c>
      <c r="H530" s="287">
        <v>0.52762003097573595</v>
      </c>
      <c r="I530" s="211">
        <v>0.31999567427273701</v>
      </c>
      <c r="J530" s="211">
        <v>-0.14577739180143101</v>
      </c>
      <c r="K530" s="288">
        <v>-282.37080791937098</v>
      </c>
    </row>
    <row r="531" spans="2:11" x14ac:dyDescent="0.2">
      <c r="B531">
        <v>3</v>
      </c>
      <c r="C531">
        <v>1005</v>
      </c>
      <c r="D531" s="308" t="s">
        <v>1103</v>
      </c>
      <c r="E531" s="291">
        <v>1746</v>
      </c>
      <c r="F531" s="291">
        <v>833</v>
      </c>
      <c r="G531" s="291">
        <v>3734</v>
      </c>
      <c r="H531" s="287">
        <v>0.47709049255441</v>
      </c>
      <c r="I531" s="211">
        <v>0.69068023567220105</v>
      </c>
      <c r="J531" s="211">
        <v>-0.20216529094774</v>
      </c>
      <c r="K531" s="288">
        <v>-352.98059799475402</v>
      </c>
    </row>
    <row r="532" spans="2:11" x14ac:dyDescent="0.2">
      <c r="B532">
        <v>3</v>
      </c>
      <c r="C532">
        <v>1007</v>
      </c>
      <c r="D532" s="308" t="s">
        <v>1104</v>
      </c>
      <c r="E532" s="291">
        <v>667</v>
      </c>
      <c r="F532" s="291">
        <v>290</v>
      </c>
      <c r="G532" s="291">
        <v>3698</v>
      </c>
      <c r="H532" s="287">
        <v>0.434782608695652</v>
      </c>
      <c r="I532" s="211">
        <v>0.25878853434288801</v>
      </c>
      <c r="J532" s="211">
        <v>-0.31157737845557099</v>
      </c>
      <c r="K532" s="288">
        <v>-207.822111429866</v>
      </c>
    </row>
    <row r="533" spans="2:11" x14ac:dyDescent="0.2">
      <c r="B533">
        <v>3</v>
      </c>
      <c r="C533">
        <v>1008</v>
      </c>
      <c r="D533" s="308" t="s">
        <v>1105</v>
      </c>
      <c r="E533" s="291">
        <v>4188</v>
      </c>
      <c r="F533" s="291">
        <v>2408</v>
      </c>
      <c r="G533" s="291">
        <v>3769</v>
      </c>
      <c r="H533" s="287">
        <v>0.57497612225405903</v>
      </c>
      <c r="I533" s="211">
        <v>1.7500663305916699</v>
      </c>
      <c r="J533" s="211">
        <v>5.1090514852621297E-2</v>
      </c>
      <c r="K533" s="288">
        <v>213.967076202778</v>
      </c>
    </row>
    <row r="534" spans="2:11" x14ac:dyDescent="0.2">
      <c r="B534">
        <v>3</v>
      </c>
      <c r="C534">
        <v>1009</v>
      </c>
      <c r="D534" s="308" t="s">
        <v>1106</v>
      </c>
      <c r="E534" s="291">
        <v>2040</v>
      </c>
      <c r="F534" s="291">
        <v>1731</v>
      </c>
      <c r="G534" s="291">
        <v>1540</v>
      </c>
      <c r="H534" s="287">
        <v>0.84852941176470598</v>
      </c>
      <c r="I534" s="211">
        <v>2.4487012987012999</v>
      </c>
      <c r="J534" s="211">
        <v>0.33348384320608498</v>
      </c>
      <c r="K534" s="288">
        <v>680.30704014041305</v>
      </c>
    </row>
    <row r="535" spans="2:11" x14ac:dyDescent="0.2">
      <c r="B535">
        <v>3</v>
      </c>
      <c r="C535">
        <v>1010</v>
      </c>
      <c r="D535" s="308" t="s">
        <v>1107</v>
      </c>
      <c r="E535" s="291">
        <v>4358</v>
      </c>
      <c r="F535" s="291">
        <v>2310</v>
      </c>
      <c r="G535" s="291">
        <v>10286</v>
      </c>
      <c r="H535" s="287">
        <v>0.530059660394676</v>
      </c>
      <c r="I535" s="211">
        <v>0.64825977056192896</v>
      </c>
      <c r="J535" s="211">
        <v>-3.8272382163746302E-2</v>
      </c>
      <c r="K535" s="288">
        <v>-166.791041469606</v>
      </c>
    </row>
    <row r="536" spans="2:11" x14ac:dyDescent="0.2">
      <c r="B536">
        <v>3</v>
      </c>
      <c r="C536">
        <v>1021</v>
      </c>
      <c r="D536" s="308" t="s">
        <v>1108</v>
      </c>
      <c r="E536" s="291">
        <v>1141</v>
      </c>
      <c r="F536" s="291">
        <v>527</v>
      </c>
      <c r="G536" s="291">
        <v>448</v>
      </c>
      <c r="H536" s="287">
        <v>0.46187554776511802</v>
      </c>
      <c r="I536" s="211">
        <v>3.72321428571429</v>
      </c>
      <c r="J536" s="211">
        <v>-0.13349320932144201</v>
      </c>
      <c r="K536" s="288">
        <v>-152.31575183576501</v>
      </c>
    </row>
    <row r="537" spans="2:11" x14ac:dyDescent="0.2">
      <c r="B537">
        <v>3</v>
      </c>
      <c r="C537">
        <v>1022</v>
      </c>
      <c r="D537" s="308" t="s">
        <v>1109</v>
      </c>
      <c r="E537" s="291">
        <v>411</v>
      </c>
      <c r="F537" s="291">
        <v>186</v>
      </c>
      <c r="G537" s="291">
        <v>291</v>
      </c>
      <c r="H537" s="287">
        <v>0.452554744525547</v>
      </c>
      <c r="I537" s="211">
        <v>2.0515463917525798</v>
      </c>
      <c r="J537" s="211">
        <v>-0.233927272137852</v>
      </c>
      <c r="K537" s="288">
        <v>-96.144108848657098</v>
      </c>
    </row>
    <row r="538" spans="2:11" x14ac:dyDescent="0.2">
      <c r="B538">
        <v>3</v>
      </c>
      <c r="C538">
        <v>1023</v>
      </c>
      <c r="D538" s="308" t="s">
        <v>1110</v>
      </c>
      <c r="E538" s="291">
        <v>2794</v>
      </c>
      <c r="F538" s="291">
        <v>1048</v>
      </c>
      <c r="G538" s="291">
        <v>872</v>
      </c>
      <c r="H538" s="287">
        <v>0.37508947745168197</v>
      </c>
      <c r="I538" s="211">
        <v>4.4059633027522898</v>
      </c>
      <c r="J538" s="211">
        <v>-0.15296490573341301</v>
      </c>
      <c r="K538" s="288">
        <v>-427.38394661915498</v>
      </c>
    </row>
    <row r="539" spans="2:11" x14ac:dyDescent="0.2">
      <c r="B539">
        <v>3</v>
      </c>
      <c r="C539">
        <v>1024</v>
      </c>
      <c r="D539" s="308" t="s">
        <v>1111</v>
      </c>
      <c r="E539" s="291">
        <v>30228</v>
      </c>
      <c r="F539" s="291">
        <v>15681</v>
      </c>
      <c r="G539" s="291">
        <v>1997</v>
      </c>
      <c r="H539" s="287">
        <v>0.51875744342993202</v>
      </c>
      <c r="I539" s="211">
        <v>22.988983475212802</v>
      </c>
      <c r="J539" s="211">
        <v>1.75130716345162</v>
      </c>
      <c r="K539" s="288">
        <v>52938.512936815503</v>
      </c>
    </row>
    <row r="540" spans="2:11" x14ac:dyDescent="0.2">
      <c r="B540">
        <v>3</v>
      </c>
      <c r="C540">
        <v>1025</v>
      </c>
      <c r="D540" s="308" t="s">
        <v>1112</v>
      </c>
      <c r="E540" s="291">
        <v>955</v>
      </c>
      <c r="F540" s="291">
        <v>360</v>
      </c>
      <c r="G540" s="291">
        <v>568</v>
      </c>
      <c r="H540" s="287">
        <v>0.37696335078533999</v>
      </c>
      <c r="I540" s="211">
        <v>2.3151408450704198</v>
      </c>
      <c r="J540" s="211">
        <v>-0.29719416830630302</v>
      </c>
      <c r="K540" s="288">
        <v>-283.82043073251998</v>
      </c>
    </row>
    <row r="541" spans="2:11" x14ac:dyDescent="0.2">
      <c r="B541">
        <v>3</v>
      </c>
      <c r="C541">
        <v>1026</v>
      </c>
      <c r="D541" s="308" t="s">
        <v>1113</v>
      </c>
      <c r="E541" s="291">
        <v>3684</v>
      </c>
      <c r="F541" s="291">
        <v>1474</v>
      </c>
      <c r="G541" s="291">
        <v>1310</v>
      </c>
      <c r="H541" s="287">
        <v>0.400108577633008</v>
      </c>
      <c r="I541" s="211">
        <v>3.9374045801526698</v>
      </c>
      <c r="J541" s="211">
        <v>-0.10505116667890201</v>
      </c>
      <c r="K541" s="288">
        <v>-387.00849804507402</v>
      </c>
    </row>
    <row r="542" spans="2:11" x14ac:dyDescent="0.2">
      <c r="B542">
        <v>3</v>
      </c>
      <c r="C542">
        <v>1030</v>
      </c>
      <c r="D542" s="308" t="s">
        <v>1114</v>
      </c>
      <c r="E542" s="291">
        <v>5190</v>
      </c>
      <c r="F542" s="291">
        <v>2656</v>
      </c>
      <c r="G542" s="291">
        <v>2446</v>
      </c>
      <c r="H542" s="287">
        <v>0.51175337186897896</v>
      </c>
      <c r="I542" s="211">
        <v>3.20768601798855</v>
      </c>
      <c r="J542" s="211">
        <v>6.4214589904469099E-2</v>
      </c>
      <c r="K542" s="288">
        <v>333.27372160419498</v>
      </c>
    </row>
    <row r="543" spans="2:11" x14ac:dyDescent="0.2">
      <c r="B543">
        <v>3</v>
      </c>
      <c r="C543">
        <v>1031</v>
      </c>
      <c r="D543" s="308" t="s">
        <v>1115</v>
      </c>
      <c r="E543" s="291">
        <v>9814</v>
      </c>
      <c r="F543" s="291">
        <v>4976</v>
      </c>
      <c r="G543" s="291">
        <v>946</v>
      </c>
      <c r="H543" s="287">
        <v>0.50703077236600802</v>
      </c>
      <c r="I543" s="211">
        <v>15.6342494714588</v>
      </c>
      <c r="J543" s="211">
        <v>0.68842880896506298</v>
      </c>
      <c r="K543" s="288">
        <v>6756.2403311831304</v>
      </c>
    </row>
    <row r="544" spans="2:11" x14ac:dyDescent="0.2">
      <c r="B544">
        <v>3</v>
      </c>
      <c r="C544">
        <v>1032</v>
      </c>
      <c r="D544" s="308" t="s">
        <v>1116</v>
      </c>
      <c r="E544" s="291">
        <v>2531</v>
      </c>
      <c r="F544" s="291">
        <v>1248</v>
      </c>
      <c r="G544" s="291">
        <v>2324</v>
      </c>
      <c r="H544" s="287">
        <v>0.49308573686290003</v>
      </c>
      <c r="I544" s="211">
        <v>1.6260757314974199</v>
      </c>
      <c r="J544" s="211">
        <v>-0.11822202819091999</v>
      </c>
      <c r="K544" s="288">
        <v>-299.21995335121898</v>
      </c>
    </row>
    <row r="545" spans="2:11" x14ac:dyDescent="0.2">
      <c r="B545">
        <v>3</v>
      </c>
      <c r="C545">
        <v>1033</v>
      </c>
      <c r="D545" s="308" t="s">
        <v>1117</v>
      </c>
      <c r="E545" s="291">
        <v>2429</v>
      </c>
      <c r="F545" s="291">
        <v>1004</v>
      </c>
      <c r="G545" s="291">
        <v>1010</v>
      </c>
      <c r="H545" s="287">
        <v>0.41333882256072502</v>
      </c>
      <c r="I545" s="211">
        <v>3.3990099009900998</v>
      </c>
      <c r="J545" s="211">
        <v>-0.15625304564412801</v>
      </c>
      <c r="K545" s="288">
        <v>-379.53864786958701</v>
      </c>
    </row>
    <row r="546" spans="2:11" x14ac:dyDescent="0.2">
      <c r="B546">
        <v>3</v>
      </c>
      <c r="C546">
        <v>1037</v>
      </c>
      <c r="D546" s="308" t="s">
        <v>1118</v>
      </c>
      <c r="E546" s="291">
        <v>2659</v>
      </c>
      <c r="F546" s="291">
        <v>745</v>
      </c>
      <c r="G546" s="291">
        <v>944</v>
      </c>
      <c r="H546" s="287">
        <v>0.280180518992102</v>
      </c>
      <c r="I546" s="211">
        <v>3.60593220338983</v>
      </c>
      <c r="J546" s="211">
        <v>-0.30492026107590398</v>
      </c>
      <c r="K546" s="288">
        <v>-810.78297420082902</v>
      </c>
    </row>
    <row r="547" spans="2:11" x14ac:dyDescent="0.2">
      <c r="B547">
        <v>3</v>
      </c>
      <c r="C547">
        <v>1039</v>
      </c>
      <c r="D547" s="308" t="s">
        <v>1119</v>
      </c>
      <c r="E547" s="291">
        <v>1763</v>
      </c>
      <c r="F547" s="291">
        <v>614</v>
      </c>
      <c r="G547" s="291">
        <v>1658</v>
      </c>
      <c r="H547" s="287">
        <v>0.34826999432785</v>
      </c>
      <c r="I547" s="211">
        <v>1.43365500603136</v>
      </c>
      <c r="J547" s="211">
        <v>-0.33403788663409201</v>
      </c>
      <c r="K547" s="288">
        <v>-588.90879413590505</v>
      </c>
    </row>
    <row r="548" spans="2:11" x14ac:dyDescent="0.2">
      <c r="B548">
        <v>3</v>
      </c>
      <c r="C548">
        <v>1040</v>
      </c>
      <c r="D548" s="308" t="s">
        <v>1120</v>
      </c>
      <c r="E548" s="291">
        <v>7430</v>
      </c>
      <c r="F548" s="291">
        <v>4755</v>
      </c>
      <c r="G548" s="291">
        <v>1545</v>
      </c>
      <c r="H548" s="287">
        <v>0.63997308209959602</v>
      </c>
      <c r="I548" s="211">
        <v>7.8867313915857604</v>
      </c>
      <c r="J548" s="211">
        <v>0.47940499673696002</v>
      </c>
      <c r="K548" s="288">
        <v>3561.9791257556199</v>
      </c>
    </row>
    <row r="549" spans="2:11" x14ac:dyDescent="0.2">
      <c r="B549">
        <v>3</v>
      </c>
      <c r="C549">
        <v>1041</v>
      </c>
      <c r="D549" s="308" t="s">
        <v>1121</v>
      </c>
      <c r="E549" s="291">
        <v>1020</v>
      </c>
      <c r="F549" s="291">
        <v>385</v>
      </c>
      <c r="G549" s="291">
        <v>1235</v>
      </c>
      <c r="H549" s="287">
        <v>0.37745098039215702</v>
      </c>
      <c r="I549" s="211">
        <v>1.1376518218623499</v>
      </c>
      <c r="J549" s="211">
        <v>-0.337067227399242</v>
      </c>
      <c r="K549" s="288">
        <v>-343.80857194722699</v>
      </c>
    </row>
    <row r="550" spans="2:11" x14ac:dyDescent="0.2">
      <c r="B550">
        <v>3</v>
      </c>
      <c r="C550">
        <v>1051</v>
      </c>
      <c r="D550" s="308" t="s">
        <v>1122</v>
      </c>
      <c r="E550" s="291">
        <v>5352</v>
      </c>
      <c r="F550" s="291">
        <v>1615</v>
      </c>
      <c r="G550" s="291">
        <v>686</v>
      </c>
      <c r="H550" s="287">
        <v>0.30175635276532098</v>
      </c>
      <c r="I550" s="211">
        <v>10.1559766763848</v>
      </c>
      <c r="J550" s="211">
        <v>6.3693551672694998E-2</v>
      </c>
      <c r="K550" s="288">
        <v>340.88788855226397</v>
      </c>
    </row>
    <row r="551" spans="2:11" x14ac:dyDescent="0.2">
      <c r="B551">
        <v>3</v>
      </c>
      <c r="C551">
        <v>1052</v>
      </c>
      <c r="D551" s="308" t="s">
        <v>1123</v>
      </c>
      <c r="E551" s="291">
        <v>6192</v>
      </c>
      <c r="F551" s="291">
        <v>2320</v>
      </c>
      <c r="G551" s="291">
        <v>449</v>
      </c>
      <c r="H551" s="287">
        <v>0.37467700258397901</v>
      </c>
      <c r="I551" s="211">
        <v>18.957683741648101</v>
      </c>
      <c r="J551" s="211">
        <v>0.50728224272456302</v>
      </c>
      <c r="K551" s="288">
        <v>3141.09164695049</v>
      </c>
    </row>
    <row r="552" spans="2:11" x14ac:dyDescent="0.2">
      <c r="B552">
        <v>3</v>
      </c>
      <c r="C552">
        <v>1053</v>
      </c>
      <c r="D552" s="308" t="s">
        <v>1124</v>
      </c>
      <c r="E552" s="291">
        <v>1481</v>
      </c>
      <c r="F552" s="291">
        <v>2011</v>
      </c>
      <c r="G552" s="291">
        <v>272</v>
      </c>
      <c r="H552" s="287">
        <v>1.3578663065496299</v>
      </c>
      <c r="I552" s="211">
        <v>12.838235294117601</v>
      </c>
      <c r="J552" s="211">
        <v>1.32234104138874</v>
      </c>
      <c r="K552" s="288">
        <v>1958.3870822967201</v>
      </c>
    </row>
    <row r="553" spans="2:11" x14ac:dyDescent="0.2">
      <c r="B553">
        <v>3</v>
      </c>
      <c r="C553">
        <v>1054</v>
      </c>
      <c r="D553" s="308" t="s">
        <v>1125</v>
      </c>
      <c r="E553" s="291">
        <v>13313</v>
      </c>
      <c r="F553" s="291">
        <v>6551</v>
      </c>
      <c r="G553" s="291">
        <v>904</v>
      </c>
      <c r="H553" s="287">
        <v>0.49207541500788698</v>
      </c>
      <c r="I553" s="211">
        <v>21.973451327433601</v>
      </c>
      <c r="J553" s="211">
        <v>1.0348786757747499</v>
      </c>
      <c r="K553" s="288">
        <v>13777.339810589199</v>
      </c>
    </row>
    <row r="554" spans="2:11" x14ac:dyDescent="0.2">
      <c r="B554">
        <v>3</v>
      </c>
      <c r="C554">
        <v>1055</v>
      </c>
      <c r="D554" s="308" t="s">
        <v>1126</v>
      </c>
      <c r="E554" s="291">
        <v>1287</v>
      </c>
      <c r="F554" s="291">
        <v>536</v>
      </c>
      <c r="G554" s="291">
        <v>104</v>
      </c>
      <c r="H554" s="287">
        <v>0.41647241647241601</v>
      </c>
      <c r="I554" s="211">
        <v>17.528846153846199</v>
      </c>
      <c r="J554" s="211">
        <v>0.31952474180371199</v>
      </c>
      <c r="K554" s="288">
        <v>411.22834270137702</v>
      </c>
    </row>
    <row r="555" spans="2:11" x14ac:dyDescent="0.2">
      <c r="B555">
        <v>3</v>
      </c>
      <c r="C555">
        <v>1056</v>
      </c>
      <c r="D555" s="308" t="s">
        <v>1127</v>
      </c>
      <c r="E555" s="291">
        <v>1052</v>
      </c>
      <c r="F555" s="291">
        <v>148</v>
      </c>
      <c r="G555" s="291">
        <v>333</v>
      </c>
      <c r="H555" s="287">
        <v>0.14068441064638801</v>
      </c>
      <c r="I555" s="211">
        <v>3.6036036036036001</v>
      </c>
      <c r="J555" s="211">
        <v>-0.53926641438930001</v>
      </c>
      <c r="K555" s="288">
        <v>-567.30826793754397</v>
      </c>
    </row>
    <row r="556" spans="2:11" x14ac:dyDescent="0.2">
      <c r="B556">
        <v>3</v>
      </c>
      <c r="C556">
        <v>1057</v>
      </c>
      <c r="D556" s="308" t="s">
        <v>1128</v>
      </c>
      <c r="E556" s="291">
        <v>363</v>
      </c>
      <c r="F556" s="291">
        <v>124</v>
      </c>
      <c r="G556" s="291">
        <v>122</v>
      </c>
      <c r="H556" s="287">
        <v>0.34159779614325098</v>
      </c>
      <c r="I556" s="211">
        <v>3.9918032786885198</v>
      </c>
      <c r="J556" s="211">
        <v>-0.30246453000567203</v>
      </c>
      <c r="K556" s="288">
        <v>-109.79462439205901</v>
      </c>
    </row>
    <row r="557" spans="2:11" x14ac:dyDescent="0.2">
      <c r="B557">
        <v>3</v>
      </c>
      <c r="C557">
        <v>1058</v>
      </c>
      <c r="D557" s="308" t="s">
        <v>1129</v>
      </c>
      <c r="E557" s="291">
        <v>13884</v>
      </c>
      <c r="F557" s="291">
        <v>5368</v>
      </c>
      <c r="G557" s="291">
        <v>1275</v>
      </c>
      <c r="H557" s="287">
        <v>0.38663209449726299</v>
      </c>
      <c r="I557" s="211">
        <v>15.099607843137299</v>
      </c>
      <c r="J557" s="211">
        <v>0.67524111552098398</v>
      </c>
      <c r="K557" s="288">
        <v>9375.0476478933506</v>
      </c>
    </row>
    <row r="558" spans="2:11" x14ac:dyDescent="0.2">
      <c r="B558">
        <v>3</v>
      </c>
      <c r="C558">
        <v>1059</v>
      </c>
      <c r="D558" s="308" t="s">
        <v>1130</v>
      </c>
      <c r="E558" s="291">
        <v>27110</v>
      </c>
      <c r="F558" s="291">
        <v>12064</v>
      </c>
      <c r="G558" s="291">
        <v>2695</v>
      </c>
      <c r="H558" s="287">
        <v>0.44500184433788298</v>
      </c>
      <c r="I558" s="211">
        <v>14.535807050092799</v>
      </c>
      <c r="J558" s="211">
        <v>1.2323588733301001</v>
      </c>
      <c r="K558" s="288">
        <v>33409.249055979097</v>
      </c>
    </row>
    <row r="559" spans="2:11" x14ac:dyDescent="0.2">
      <c r="B559">
        <v>3</v>
      </c>
      <c r="C559">
        <v>1061</v>
      </c>
      <c r="D559" s="308" t="s">
        <v>1131</v>
      </c>
      <c r="E559" s="291">
        <v>81592</v>
      </c>
      <c r="F559" s="291">
        <v>81094</v>
      </c>
      <c r="G559" s="291">
        <v>2845</v>
      </c>
      <c r="H559" s="287">
        <v>0.99389646043729796</v>
      </c>
      <c r="I559" s="211">
        <v>57.183128295254797</v>
      </c>
      <c r="J559" s="211">
        <v>5.5502539549576202</v>
      </c>
      <c r="K559" s="288">
        <v>452856.32069290202</v>
      </c>
    </row>
    <row r="560" spans="2:11" x14ac:dyDescent="0.2">
      <c r="B560">
        <v>3</v>
      </c>
      <c r="C560">
        <v>1062</v>
      </c>
      <c r="D560" s="308" t="s">
        <v>1132</v>
      </c>
      <c r="E560" s="291">
        <v>7108</v>
      </c>
      <c r="F560" s="291">
        <v>3382</v>
      </c>
      <c r="G560" s="291">
        <v>2807</v>
      </c>
      <c r="H560" s="287">
        <v>0.47580191333708499</v>
      </c>
      <c r="I560" s="211">
        <v>3.7370858567865999</v>
      </c>
      <c r="J560" s="211">
        <v>0.11226585523922</v>
      </c>
      <c r="K560" s="288">
        <v>797.98569904037799</v>
      </c>
    </row>
    <row r="561" spans="2:11" x14ac:dyDescent="0.2">
      <c r="B561">
        <v>3</v>
      </c>
      <c r="C561">
        <v>1063</v>
      </c>
      <c r="D561" s="308" t="s">
        <v>1133</v>
      </c>
      <c r="E561" s="291">
        <v>7002</v>
      </c>
      <c r="F561" s="291">
        <v>2268</v>
      </c>
      <c r="G561" s="291">
        <v>724</v>
      </c>
      <c r="H561" s="287">
        <v>0.32390745501285301</v>
      </c>
      <c r="I561" s="211">
        <v>12.8038674033149</v>
      </c>
      <c r="J561" s="211">
        <v>0.25079686262099299</v>
      </c>
      <c r="K561" s="288">
        <v>1756.0796320722</v>
      </c>
    </row>
    <row r="562" spans="2:11" x14ac:dyDescent="0.2">
      <c r="B562">
        <v>3</v>
      </c>
      <c r="C562">
        <v>1064</v>
      </c>
      <c r="D562" s="308" t="s">
        <v>1134</v>
      </c>
      <c r="E562" s="291">
        <v>1371</v>
      </c>
      <c r="F562" s="291">
        <v>446</v>
      </c>
      <c r="G562" s="291">
        <v>674</v>
      </c>
      <c r="H562" s="287">
        <v>0.32530999270605399</v>
      </c>
      <c r="I562" s="211">
        <v>2.6958456973293798</v>
      </c>
      <c r="J562" s="211">
        <v>-0.331415924135119</v>
      </c>
      <c r="K562" s="288">
        <v>-454.37123198924797</v>
      </c>
    </row>
    <row r="563" spans="2:11" x14ac:dyDescent="0.2">
      <c r="B563">
        <v>3</v>
      </c>
      <c r="C563">
        <v>1065</v>
      </c>
      <c r="D563" s="308" t="s">
        <v>1135</v>
      </c>
      <c r="E563" s="291">
        <v>4754</v>
      </c>
      <c r="F563" s="291">
        <v>4099</v>
      </c>
      <c r="G563" s="291">
        <v>819</v>
      </c>
      <c r="H563" s="287">
        <v>0.862221287336979</v>
      </c>
      <c r="I563" s="211">
        <v>10.8095238095238</v>
      </c>
      <c r="J563" s="211">
        <v>0.75919714336447497</v>
      </c>
      <c r="K563" s="288">
        <v>3609.2232195547099</v>
      </c>
    </row>
    <row r="564" spans="2:11" x14ac:dyDescent="0.2">
      <c r="B564">
        <v>3</v>
      </c>
      <c r="C564">
        <v>1066</v>
      </c>
      <c r="D564" s="308" t="s">
        <v>1136</v>
      </c>
      <c r="E564" s="291">
        <v>1719</v>
      </c>
      <c r="F564" s="291">
        <v>466</v>
      </c>
      <c r="G564" s="291">
        <v>3692</v>
      </c>
      <c r="H564" s="287">
        <v>0.27108784176847001</v>
      </c>
      <c r="I564" s="211">
        <v>0.59182015167930702</v>
      </c>
      <c r="J564" s="211">
        <v>-0.46207497645143703</v>
      </c>
      <c r="K564" s="288">
        <v>-794.30688452002005</v>
      </c>
    </row>
    <row r="565" spans="2:11" x14ac:dyDescent="0.2">
      <c r="B565">
        <v>3</v>
      </c>
      <c r="C565">
        <v>1067</v>
      </c>
      <c r="D565" s="308" t="s">
        <v>1137</v>
      </c>
      <c r="E565" s="291">
        <v>2285</v>
      </c>
      <c r="F565" s="291">
        <v>406</v>
      </c>
      <c r="G565" s="291">
        <v>618</v>
      </c>
      <c r="H565" s="287">
        <v>0.17768052516411401</v>
      </c>
      <c r="I565" s="211">
        <v>4.3543689320388301</v>
      </c>
      <c r="J565" s="211">
        <v>-0.41891805323808401</v>
      </c>
      <c r="K565" s="288">
        <v>-957.22775164902305</v>
      </c>
    </row>
    <row r="566" spans="2:11" x14ac:dyDescent="0.2">
      <c r="B566">
        <v>3</v>
      </c>
      <c r="C566">
        <v>1068</v>
      </c>
      <c r="D566" s="308" t="s">
        <v>1138</v>
      </c>
      <c r="E566" s="291">
        <v>1339</v>
      </c>
      <c r="F566" s="291">
        <v>598</v>
      </c>
      <c r="G566" s="291">
        <v>854</v>
      </c>
      <c r="H566" s="287">
        <v>0.44660194174757301</v>
      </c>
      <c r="I566" s="211">
        <v>2.2681498829039799</v>
      </c>
      <c r="J566" s="211">
        <v>-0.197942561572545</v>
      </c>
      <c r="K566" s="288">
        <v>-265.04508994563798</v>
      </c>
    </row>
    <row r="567" spans="2:11" x14ac:dyDescent="0.2">
      <c r="B567">
        <v>3</v>
      </c>
      <c r="C567">
        <v>1069</v>
      </c>
      <c r="D567" s="308" t="s">
        <v>1139</v>
      </c>
      <c r="E567" s="291">
        <v>4381</v>
      </c>
      <c r="F567" s="291">
        <v>2172</v>
      </c>
      <c r="G567" s="291">
        <v>1159</v>
      </c>
      <c r="H567" s="287">
        <v>0.49577721981282802</v>
      </c>
      <c r="I567" s="211">
        <v>5.65401207937877</v>
      </c>
      <c r="J567" s="211">
        <v>0.10276076068739801</v>
      </c>
      <c r="K567" s="288">
        <v>450.19489257149201</v>
      </c>
    </row>
    <row r="568" spans="2:11" x14ac:dyDescent="0.2">
      <c r="B568">
        <v>3</v>
      </c>
      <c r="C568">
        <v>1081</v>
      </c>
      <c r="D568" s="308" t="s">
        <v>1140</v>
      </c>
      <c r="E568" s="291">
        <v>6517</v>
      </c>
      <c r="F568" s="291">
        <v>2778</v>
      </c>
      <c r="G568" s="291">
        <v>4193</v>
      </c>
      <c r="H568" s="287">
        <v>0.42626975602271</v>
      </c>
      <c r="I568" s="211">
        <v>2.21678988790842</v>
      </c>
      <c r="J568" s="211">
        <v>-2.7162724035488001E-2</v>
      </c>
      <c r="K568" s="288">
        <v>-177.019472539275</v>
      </c>
    </row>
    <row r="569" spans="2:11" x14ac:dyDescent="0.2">
      <c r="B569">
        <v>3</v>
      </c>
      <c r="C569">
        <v>1082</v>
      </c>
      <c r="D569" s="308" t="s">
        <v>1141</v>
      </c>
      <c r="E569" s="291">
        <v>2357</v>
      </c>
      <c r="F569" s="291">
        <v>1027</v>
      </c>
      <c r="G569" s="291">
        <v>530</v>
      </c>
      <c r="H569" s="287">
        <v>0.43572337717437398</v>
      </c>
      <c r="I569" s="211">
        <v>6.3849056603773597</v>
      </c>
      <c r="J569" s="211">
        <v>-2.23249726628676E-2</v>
      </c>
      <c r="K569" s="288">
        <v>-52.6199605663789</v>
      </c>
    </row>
    <row r="570" spans="2:11" x14ac:dyDescent="0.2">
      <c r="B570">
        <v>3</v>
      </c>
      <c r="C570">
        <v>1083</v>
      </c>
      <c r="D570" s="308" t="s">
        <v>1142</v>
      </c>
      <c r="E570" s="291">
        <v>3248</v>
      </c>
      <c r="F570" s="291">
        <v>1636</v>
      </c>
      <c r="G570" s="291">
        <v>1630</v>
      </c>
      <c r="H570" s="287">
        <v>0.50369458128078803</v>
      </c>
      <c r="I570" s="211">
        <v>2.9963190184049102</v>
      </c>
      <c r="J570" s="211">
        <v>-2.7686132438951499E-2</v>
      </c>
      <c r="K570" s="288">
        <v>-89.9245581617146</v>
      </c>
    </row>
    <row r="571" spans="2:11" x14ac:dyDescent="0.2">
      <c r="B571">
        <v>3</v>
      </c>
      <c r="C571">
        <v>1084</v>
      </c>
      <c r="D571" s="308" t="s">
        <v>1143</v>
      </c>
      <c r="E571" s="291">
        <v>1658</v>
      </c>
      <c r="F571" s="291">
        <v>653</v>
      </c>
      <c r="G571" s="291">
        <v>590</v>
      </c>
      <c r="H571" s="287">
        <v>0.39384800965018102</v>
      </c>
      <c r="I571" s="211">
        <v>3.9169491525423701</v>
      </c>
      <c r="J571" s="211">
        <v>-0.19096774374256401</v>
      </c>
      <c r="K571" s="288">
        <v>-316.62451912517002</v>
      </c>
    </row>
    <row r="572" spans="2:11" x14ac:dyDescent="0.2">
      <c r="B572">
        <v>3</v>
      </c>
      <c r="C572">
        <v>1085</v>
      </c>
      <c r="D572" s="308" t="s">
        <v>1144</v>
      </c>
      <c r="E572" s="291">
        <v>2906</v>
      </c>
      <c r="F572" s="291">
        <v>926</v>
      </c>
      <c r="G572" s="291">
        <v>641</v>
      </c>
      <c r="H572" s="287">
        <v>0.31865106675843102</v>
      </c>
      <c r="I572" s="211">
        <v>5.9781591263650498</v>
      </c>
      <c r="J572" s="211">
        <v>-0.16126001426286601</v>
      </c>
      <c r="K572" s="288">
        <v>-468.621601447888</v>
      </c>
    </row>
    <row r="573" spans="2:11" x14ac:dyDescent="0.2">
      <c r="B573">
        <v>3</v>
      </c>
      <c r="C573">
        <v>1086</v>
      </c>
      <c r="D573" s="308" t="s">
        <v>1145</v>
      </c>
      <c r="E573" s="291">
        <v>3162</v>
      </c>
      <c r="F573" s="291">
        <v>1380</v>
      </c>
      <c r="G573" s="291">
        <v>1960</v>
      </c>
      <c r="H573" s="287">
        <v>0.43643263757115802</v>
      </c>
      <c r="I573" s="211">
        <v>2.3173469387755099</v>
      </c>
      <c r="J573" s="211">
        <v>-0.139093171186812</v>
      </c>
      <c r="K573" s="288">
        <v>-439.81260729269798</v>
      </c>
    </row>
    <row r="574" spans="2:11" x14ac:dyDescent="0.2">
      <c r="B574">
        <v>3</v>
      </c>
      <c r="C574">
        <v>1088</v>
      </c>
      <c r="D574" s="308" t="s">
        <v>1146</v>
      </c>
      <c r="E574" s="291">
        <v>2214</v>
      </c>
      <c r="F574" s="291">
        <v>616</v>
      </c>
      <c r="G574" s="291">
        <v>697</v>
      </c>
      <c r="H574" s="287">
        <v>0.27822944896115598</v>
      </c>
      <c r="I574" s="211">
        <v>4.0602582496413202</v>
      </c>
      <c r="J574" s="211">
        <v>-0.30776499235854499</v>
      </c>
      <c r="K574" s="288">
        <v>-681.39169308181897</v>
      </c>
    </row>
    <row r="575" spans="2:11" x14ac:dyDescent="0.2">
      <c r="B575">
        <v>3</v>
      </c>
      <c r="C575">
        <v>1089</v>
      </c>
      <c r="D575" s="308" t="s">
        <v>1147</v>
      </c>
      <c r="E575" s="291">
        <v>2154</v>
      </c>
      <c r="F575" s="291">
        <v>708</v>
      </c>
      <c r="G575" s="291">
        <v>968</v>
      </c>
      <c r="H575" s="287">
        <v>0.32869080779944299</v>
      </c>
      <c r="I575" s="211">
        <v>2.9566115702479299</v>
      </c>
      <c r="J575" s="211">
        <v>-0.28779442847351</v>
      </c>
      <c r="K575" s="288">
        <v>-619.90919893194098</v>
      </c>
    </row>
    <row r="576" spans="2:11" x14ac:dyDescent="0.2">
      <c r="B576">
        <v>3</v>
      </c>
      <c r="C576">
        <v>1091</v>
      </c>
      <c r="D576" s="308" t="s">
        <v>1148</v>
      </c>
      <c r="E576" s="291">
        <v>1414</v>
      </c>
      <c r="F576" s="291">
        <v>332</v>
      </c>
      <c r="G576" s="291">
        <v>668</v>
      </c>
      <c r="H576" s="287">
        <v>0.23479490806223499</v>
      </c>
      <c r="I576" s="211">
        <v>2.61377245508982</v>
      </c>
      <c r="J576" s="211">
        <v>-0.444930423802543</v>
      </c>
      <c r="K576" s="288">
        <v>-629.13161925679594</v>
      </c>
    </row>
    <row r="577" spans="2:11" x14ac:dyDescent="0.2">
      <c r="B577">
        <v>3</v>
      </c>
      <c r="C577">
        <v>1093</v>
      </c>
      <c r="D577" s="308" t="s">
        <v>1149</v>
      </c>
      <c r="E577" s="291">
        <v>6957</v>
      </c>
      <c r="F577" s="291">
        <v>2464</v>
      </c>
      <c r="G577" s="291">
        <v>2539</v>
      </c>
      <c r="H577" s="287">
        <v>0.35417565042403298</v>
      </c>
      <c r="I577" s="211">
        <v>3.7105159511618702</v>
      </c>
      <c r="J577" s="211">
        <v>-4.51880876721018E-2</v>
      </c>
      <c r="K577" s="288">
        <v>-314.37352593481199</v>
      </c>
    </row>
    <row r="578" spans="2:11" x14ac:dyDescent="0.2">
      <c r="B578">
        <v>3</v>
      </c>
      <c r="C578">
        <v>1094</v>
      </c>
      <c r="D578" s="308" t="s">
        <v>1150</v>
      </c>
      <c r="E578" s="291">
        <v>3728</v>
      </c>
      <c r="F578" s="291">
        <v>2523</v>
      </c>
      <c r="G578" s="291">
        <v>1025</v>
      </c>
      <c r="H578" s="287">
        <v>0.67677038626609398</v>
      </c>
      <c r="I578" s="211">
        <v>6.0985365853658502</v>
      </c>
      <c r="J578" s="211">
        <v>0.31830878766461201</v>
      </c>
      <c r="K578" s="288">
        <v>1186.65516041367</v>
      </c>
    </row>
    <row r="579" spans="2:11" x14ac:dyDescent="0.2">
      <c r="B579">
        <v>3</v>
      </c>
      <c r="C579">
        <v>1095</v>
      </c>
      <c r="D579" s="308" t="s">
        <v>1151</v>
      </c>
      <c r="E579" s="291">
        <v>4636</v>
      </c>
      <c r="F579" s="291">
        <v>2569</v>
      </c>
      <c r="G579" s="291">
        <v>904</v>
      </c>
      <c r="H579" s="287">
        <v>0.55414150129421902</v>
      </c>
      <c r="I579" s="211">
        <v>7.9701327433628304</v>
      </c>
      <c r="J579" s="211">
        <v>0.26933123653615199</v>
      </c>
      <c r="K579" s="288">
        <v>1248.6196125816</v>
      </c>
    </row>
    <row r="580" spans="2:11" x14ac:dyDescent="0.2">
      <c r="B580">
        <v>3</v>
      </c>
      <c r="C580">
        <v>1097</v>
      </c>
      <c r="D580" s="308" t="s">
        <v>1152</v>
      </c>
      <c r="E580" s="291">
        <v>3248</v>
      </c>
      <c r="F580" s="291">
        <v>1277</v>
      </c>
      <c r="G580" s="291">
        <v>1175</v>
      </c>
      <c r="H580" s="287">
        <v>0.39316502463054198</v>
      </c>
      <c r="I580" s="211">
        <v>3.8510638297872299</v>
      </c>
      <c r="J580" s="211">
        <v>-0.133464857257134</v>
      </c>
      <c r="K580" s="288">
        <v>-433.493856371172</v>
      </c>
    </row>
    <row r="581" spans="2:11" x14ac:dyDescent="0.2">
      <c r="B581">
        <v>3</v>
      </c>
      <c r="C581">
        <v>1098</v>
      </c>
      <c r="D581" s="308" t="s">
        <v>1153</v>
      </c>
      <c r="E581" s="291">
        <v>6908</v>
      </c>
      <c r="F581" s="291">
        <v>3016</v>
      </c>
      <c r="G581" s="291">
        <v>4512</v>
      </c>
      <c r="H581" s="287">
        <v>0.43659525188187598</v>
      </c>
      <c r="I581" s="211">
        <v>2.1994680851063801</v>
      </c>
      <c r="J581" s="211">
        <v>-5.9826687879344597E-5</v>
      </c>
      <c r="K581" s="288">
        <v>-0.413282759870512</v>
      </c>
    </row>
    <row r="582" spans="2:11" x14ac:dyDescent="0.2">
      <c r="B582">
        <v>3</v>
      </c>
      <c r="C582">
        <v>1099</v>
      </c>
      <c r="D582" s="308" t="s">
        <v>1154</v>
      </c>
      <c r="E582" s="291">
        <v>2816</v>
      </c>
      <c r="F582" s="291">
        <v>1036</v>
      </c>
      <c r="G582" s="291">
        <v>673</v>
      </c>
      <c r="H582" s="287">
        <v>0.36789772727272702</v>
      </c>
      <c r="I582" s="211">
        <v>5.7236255572065398</v>
      </c>
      <c r="J582" s="211">
        <v>-0.11296087965844</v>
      </c>
      <c r="K582" s="288">
        <v>-318.09783711816601</v>
      </c>
    </row>
    <row r="583" spans="2:11" x14ac:dyDescent="0.2">
      <c r="B583">
        <v>3</v>
      </c>
      <c r="C583">
        <v>1100</v>
      </c>
      <c r="D583" s="308" t="s">
        <v>1155</v>
      </c>
      <c r="E583" s="291">
        <v>840</v>
      </c>
      <c r="F583" s="291">
        <v>172</v>
      </c>
      <c r="G583" s="291">
        <v>720</v>
      </c>
      <c r="H583" s="287">
        <v>0.20476190476190501</v>
      </c>
      <c r="I583" s="211">
        <v>1.4055555555555601</v>
      </c>
      <c r="J583" s="211">
        <v>-0.548160520859446</v>
      </c>
      <c r="K583" s="288">
        <v>-460.45483752193502</v>
      </c>
    </row>
    <row r="584" spans="2:11" x14ac:dyDescent="0.2">
      <c r="B584">
        <v>3</v>
      </c>
      <c r="C584">
        <v>1102</v>
      </c>
      <c r="D584" s="308" t="s">
        <v>1156</v>
      </c>
      <c r="E584" s="291">
        <v>4106</v>
      </c>
      <c r="F584" s="291">
        <v>1933</v>
      </c>
      <c r="G584" s="291">
        <v>884</v>
      </c>
      <c r="H584" s="287">
        <v>0.47077447637603498</v>
      </c>
      <c r="I584" s="211">
        <v>6.8314479638009002</v>
      </c>
      <c r="J584" s="211">
        <v>0.104229642239062</v>
      </c>
      <c r="K584" s="288">
        <v>427.96691103358899</v>
      </c>
    </row>
    <row r="585" spans="2:11" x14ac:dyDescent="0.2">
      <c r="B585">
        <v>3</v>
      </c>
      <c r="C585">
        <v>1103</v>
      </c>
      <c r="D585" s="308" t="s">
        <v>1157</v>
      </c>
      <c r="E585" s="291">
        <v>9621</v>
      </c>
      <c r="F585" s="291">
        <v>13269</v>
      </c>
      <c r="G585" s="291">
        <v>576</v>
      </c>
      <c r="H585" s="287">
        <v>1.3791705643904</v>
      </c>
      <c r="I585" s="211">
        <v>39.7395833333333</v>
      </c>
      <c r="J585" s="211">
        <v>2.6412667785772501</v>
      </c>
      <c r="K585" s="288">
        <v>25411.6276766917</v>
      </c>
    </row>
    <row r="586" spans="2:11" x14ac:dyDescent="0.2">
      <c r="B586">
        <v>3</v>
      </c>
      <c r="C586">
        <v>1104</v>
      </c>
      <c r="D586" s="308" t="s">
        <v>1158</v>
      </c>
      <c r="E586" s="291">
        <v>4587</v>
      </c>
      <c r="F586" s="291">
        <v>3280</v>
      </c>
      <c r="G586" s="291">
        <v>2202</v>
      </c>
      <c r="H586" s="287">
        <v>0.71506431218661404</v>
      </c>
      <c r="I586" s="211">
        <v>3.5726612170753902</v>
      </c>
      <c r="J586" s="211">
        <v>0.30642610288952699</v>
      </c>
      <c r="K586" s="288">
        <v>1405.57653395426</v>
      </c>
    </row>
    <row r="587" spans="2:11" x14ac:dyDescent="0.2">
      <c r="B587">
        <v>3</v>
      </c>
      <c r="C587">
        <v>1107</v>
      </c>
      <c r="D587" s="308" t="s">
        <v>1159</v>
      </c>
      <c r="E587" s="291">
        <v>4299</v>
      </c>
      <c r="F587" s="291">
        <v>2474</v>
      </c>
      <c r="G587" s="291">
        <v>1408</v>
      </c>
      <c r="H587" s="287">
        <v>0.57548267038846201</v>
      </c>
      <c r="I587" s="211">
        <v>4.8103693181818201</v>
      </c>
      <c r="J587" s="211">
        <v>0.167615242404761</v>
      </c>
      <c r="K587" s="288">
        <v>720.57792709806904</v>
      </c>
    </row>
    <row r="588" spans="2:11" x14ac:dyDescent="0.2">
      <c r="B588">
        <v>3</v>
      </c>
      <c r="C588">
        <v>1121</v>
      </c>
      <c r="D588" s="308" t="s">
        <v>1160</v>
      </c>
      <c r="E588" s="291">
        <v>648</v>
      </c>
      <c r="F588" s="291">
        <v>214</v>
      </c>
      <c r="G588" s="291">
        <v>352</v>
      </c>
      <c r="H588" s="287">
        <v>0.33024691358024699</v>
      </c>
      <c r="I588" s="211">
        <v>2.4488636363636398</v>
      </c>
      <c r="J588" s="211">
        <v>-0.36193490621779001</v>
      </c>
      <c r="K588" s="288">
        <v>-234.533819229128</v>
      </c>
    </row>
    <row r="589" spans="2:11" x14ac:dyDescent="0.2">
      <c r="B589">
        <v>3</v>
      </c>
      <c r="C589">
        <v>1122</v>
      </c>
      <c r="D589" s="308" t="s">
        <v>1161</v>
      </c>
      <c r="E589" s="291">
        <v>1013</v>
      </c>
      <c r="F589" s="291">
        <v>521</v>
      </c>
      <c r="G589" s="291">
        <v>671</v>
      </c>
      <c r="H589" s="287">
        <v>0.51431391905232005</v>
      </c>
      <c r="I589" s="211">
        <v>2.28614008941878</v>
      </c>
      <c r="J589" s="211">
        <v>-0.12583621753364899</v>
      </c>
      <c r="K589" s="288">
        <v>-127.472088361587</v>
      </c>
    </row>
    <row r="590" spans="2:11" x14ac:dyDescent="0.2">
      <c r="B590">
        <v>3</v>
      </c>
      <c r="C590">
        <v>1123</v>
      </c>
      <c r="D590" s="308" t="s">
        <v>1162</v>
      </c>
      <c r="E590" s="291">
        <v>1548</v>
      </c>
      <c r="F590" s="291">
        <v>2337</v>
      </c>
      <c r="G590" s="291">
        <v>570</v>
      </c>
      <c r="H590" s="287">
        <v>1.50968992248062</v>
      </c>
      <c r="I590" s="211">
        <v>6.8157894736842097</v>
      </c>
      <c r="J590" s="211">
        <v>1.29330529069216</v>
      </c>
      <c r="K590" s="288">
        <v>2002.03658999146</v>
      </c>
    </row>
    <row r="591" spans="2:11" x14ac:dyDescent="0.2">
      <c r="B591">
        <v>3</v>
      </c>
      <c r="C591">
        <v>1125</v>
      </c>
      <c r="D591" s="308" t="s">
        <v>1163</v>
      </c>
      <c r="E591" s="291">
        <v>5287</v>
      </c>
      <c r="F591" s="291">
        <v>3565</v>
      </c>
      <c r="G591" s="291">
        <v>2358</v>
      </c>
      <c r="H591" s="287">
        <v>0.67429544164932897</v>
      </c>
      <c r="I591" s="211">
        <v>3.7540288379983</v>
      </c>
      <c r="J591" s="211">
        <v>0.28927064350343901</v>
      </c>
      <c r="K591" s="288">
        <v>1529.3738922026801</v>
      </c>
    </row>
    <row r="592" spans="2:11" x14ac:dyDescent="0.2">
      <c r="B592">
        <v>3</v>
      </c>
      <c r="C592">
        <v>1126</v>
      </c>
      <c r="D592" s="308" t="s">
        <v>1164</v>
      </c>
      <c r="E592" s="291">
        <v>395</v>
      </c>
      <c r="F592" s="291">
        <v>196</v>
      </c>
      <c r="G592" s="291">
        <v>856</v>
      </c>
      <c r="H592" s="287">
        <v>0.49620253164556999</v>
      </c>
      <c r="I592" s="211">
        <v>0.690420560747664</v>
      </c>
      <c r="J592" s="211">
        <v>-0.230112804880162</v>
      </c>
      <c r="K592" s="288">
        <v>-90.894557927664096</v>
      </c>
    </row>
    <row r="593" spans="2:11" x14ac:dyDescent="0.2">
      <c r="B593">
        <v>3</v>
      </c>
      <c r="C593">
        <v>1127</v>
      </c>
      <c r="D593" s="308" t="s">
        <v>1165</v>
      </c>
      <c r="E593" s="291">
        <v>1439</v>
      </c>
      <c r="F593" s="291">
        <v>542</v>
      </c>
      <c r="G593" s="291">
        <v>411</v>
      </c>
      <c r="H593" s="287">
        <v>0.376650451702571</v>
      </c>
      <c r="I593" s="211">
        <v>4.8199513381995098</v>
      </c>
      <c r="J593" s="211">
        <v>-0.187699995468987</v>
      </c>
      <c r="K593" s="288">
        <v>-270.10029347987302</v>
      </c>
    </row>
    <row r="594" spans="2:11" x14ac:dyDescent="0.2">
      <c r="B594">
        <v>3</v>
      </c>
      <c r="C594">
        <v>1128</v>
      </c>
      <c r="D594" s="308" t="s">
        <v>1166</v>
      </c>
      <c r="E594" s="291">
        <v>2718</v>
      </c>
      <c r="F594" s="291">
        <v>912</v>
      </c>
      <c r="G594" s="291">
        <v>1238</v>
      </c>
      <c r="H594" s="287">
        <v>0.33554083885209701</v>
      </c>
      <c r="I594" s="211">
        <v>2.9321486268174501</v>
      </c>
      <c r="J594" s="211">
        <v>-0.25864851026733598</v>
      </c>
      <c r="K594" s="288">
        <v>-703.00665090662096</v>
      </c>
    </row>
    <row r="595" spans="2:11" x14ac:dyDescent="0.2">
      <c r="B595">
        <v>3</v>
      </c>
      <c r="C595">
        <v>1129</v>
      </c>
      <c r="D595" s="308" t="s">
        <v>1167</v>
      </c>
      <c r="E595" s="291">
        <v>699</v>
      </c>
      <c r="F595" s="291">
        <v>222</v>
      </c>
      <c r="G595" s="291">
        <v>802</v>
      </c>
      <c r="H595" s="287">
        <v>0.31759656652360502</v>
      </c>
      <c r="I595" s="211">
        <v>1.14837905236908</v>
      </c>
      <c r="J595" s="211">
        <v>-0.42311052573589503</v>
      </c>
      <c r="K595" s="288">
        <v>-295.75425748939102</v>
      </c>
    </row>
    <row r="596" spans="2:11" x14ac:dyDescent="0.2">
      <c r="B596">
        <v>3</v>
      </c>
      <c r="C596">
        <v>1130</v>
      </c>
      <c r="D596" s="308" t="s">
        <v>1168</v>
      </c>
      <c r="E596" s="291">
        <v>1120</v>
      </c>
      <c r="F596" s="291">
        <v>578</v>
      </c>
      <c r="G596" s="291">
        <v>601</v>
      </c>
      <c r="H596" s="287">
        <v>0.51607142857142896</v>
      </c>
      <c r="I596" s="211">
        <v>2.8252911813643902</v>
      </c>
      <c r="J596" s="211">
        <v>-9.9898923695938002E-2</v>
      </c>
      <c r="K596" s="288">
        <v>-111.886794539451</v>
      </c>
    </row>
    <row r="597" spans="2:11" x14ac:dyDescent="0.2">
      <c r="B597">
        <v>3</v>
      </c>
      <c r="C597">
        <v>1131</v>
      </c>
      <c r="D597" s="308" t="s">
        <v>1169</v>
      </c>
      <c r="E597" s="291">
        <v>838</v>
      </c>
      <c r="F597" s="291">
        <v>378</v>
      </c>
      <c r="G597" s="291">
        <v>1020</v>
      </c>
      <c r="H597" s="287">
        <v>0.45107398568019103</v>
      </c>
      <c r="I597" s="211">
        <v>1.1921568627451</v>
      </c>
      <c r="J597" s="211">
        <v>-0.25080173459463401</v>
      </c>
      <c r="K597" s="288">
        <v>-210.17185359030299</v>
      </c>
    </row>
    <row r="598" spans="2:11" x14ac:dyDescent="0.2">
      <c r="B598">
        <v>3</v>
      </c>
      <c r="C598">
        <v>1132</v>
      </c>
      <c r="D598" s="308" t="s">
        <v>1170</v>
      </c>
      <c r="E598" s="291">
        <v>1890</v>
      </c>
      <c r="F598" s="291">
        <v>887</v>
      </c>
      <c r="G598" s="291">
        <v>3124</v>
      </c>
      <c r="H598" s="287">
        <v>0.46931216931216901</v>
      </c>
      <c r="I598" s="211">
        <v>0.88892445582586399</v>
      </c>
      <c r="J598" s="211">
        <v>-0.199068765739397</v>
      </c>
      <c r="K598" s="288">
        <v>-376.23996724746002</v>
      </c>
    </row>
    <row r="599" spans="2:11" x14ac:dyDescent="0.2">
      <c r="B599">
        <v>3</v>
      </c>
      <c r="C599">
        <v>1135</v>
      </c>
      <c r="D599" s="308" t="s">
        <v>1171</v>
      </c>
      <c r="E599" s="291">
        <v>1281</v>
      </c>
      <c r="F599" s="291">
        <v>702</v>
      </c>
      <c r="G599" s="291">
        <v>3739</v>
      </c>
      <c r="H599" s="287">
        <v>0.54800936768149899</v>
      </c>
      <c r="I599" s="211">
        <v>0.53035571008291005</v>
      </c>
      <c r="J599" s="211">
        <v>-0.13790203981395699</v>
      </c>
      <c r="K599" s="288">
        <v>-176.65251300167901</v>
      </c>
    </row>
    <row r="600" spans="2:11" x14ac:dyDescent="0.2">
      <c r="B600">
        <v>3</v>
      </c>
      <c r="C600">
        <v>1136</v>
      </c>
      <c r="D600" s="308" t="s">
        <v>1172</v>
      </c>
      <c r="E600" s="291">
        <v>2897</v>
      </c>
      <c r="F600" s="291">
        <v>1521</v>
      </c>
      <c r="G600" s="291">
        <v>3015</v>
      </c>
      <c r="H600" s="287">
        <v>0.52502588885053503</v>
      </c>
      <c r="I600" s="211">
        <v>1.4653399668325</v>
      </c>
      <c r="J600" s="211">
        <v>-7.0522748331665303E-2</v>
      </c>
      <c r="K600" s="288">
        <v>-204.304401916834</v>
      </c>
    </row>
    <row r="601" spans="2:11" x14ac:dyDescent="0.2">
      <c r="B601">
        <v>3</v>
      </c>
      <c r="C601">
        <v>1137</v>
      </c>
      <c r="D601" s="308" t="s">
        <v>1173</v>
      </c>
      <c r="E601" s="291">
        <v>2600</v>
      </c>
      <c r="F601" s="291">
        <v>1107</v>
      </c>
      <c r="G601" s="291">
        <v>369</v>
      </c>
      <c r="H601" s="287">
        <v>0.42576923076923101</v>
      </c>
      <c r="I601" s="211">
        <v>10.0460704607046</v>
      </c>
      <c r="J601" s="211">
        <v>0.108203453294119</v>
      </c>
      <c r="K601" s="288">
        <v>281.32897856470998</v>
      </c>
    </row>
    <row r="602" spans="2:11" x14ac:dyDescent="0.2">
      <c r="B602">
        <v>3</v>
      </c>
      <c r="C602">
        <v>1139</v>
      </c>
      <c r="D602" s="308" t="s">
        <v>1174</v>
      </c>
      <c r="E602" s="291">
        <v>2653</v>
      </c>
      <c r="F602" s="291">
        <v>1553</v>
      </c>
      <c r="G602" s="291">
        <v>1753</v>
      </c>
      <c r="H602" s="287">
        <v>0.58537504711647204</v>
      </c>
      <c r="I602" s="211">
        <v>2.3993154592127799</v>
      </c>
      <c r="J602" s="211">
        <v>2.90129412364327E-2</v>
      </c>
      <c r="K602" s="288">
        <v>76.971333100256004</v>
      </c>
    </row>
    <row r="603" spans="2:11" x14ac:dyDescent="0.2">
      <c r="B603">
        <v>3</v>
      </c>
      <c r="C603">
        <v>1140</v>
      </c>
      <c r="D603" s="308" t="s">
        <v>1175</v>
      </c>
      <c r="E603" s="291">
        <v>7008</v>
      </c>
      <c r="F603" s="291">
        <v>3777</v>
      </c>
      <c r="G603" s="291">
        <v>2688</v>
      </c>
      <c r="H603" s="287">
        <v>0.53895547945205502</v>
      </c>
      <c r="I603" s="211">
        <v>4.01227678571429</v>
      </c>
      <c r="J603" s="211">
        <v>0.196742940601835</v>
      </c>
      <c r="K603" s="288">
        <v>1378.77452773766</v>
      </c>
    </row>
    <row r="604" spans="2:11" x14ac:dyDescent="0.2">
      <c r="B604">
        <v>3</v>
      </c>
      <c r="C604">
        <v>1142</v>
      </c>
      <c r="D604" s="308" t="s">
        <v>1176</v>
      </c>
      <c r="E604" s="291">
        <v>682</v>
      </c>
      <c r="F604" s="291">
        <v>292</v>
      </c>
      <c r="G604" s="291">
        <v>620</v>
      </c>
      <c r="H604" s="287">
        <v>0.42815249266862199</v>
      </c>
      <c r="I604" s="211">
        <v>1.5709677419354799</v>
      </c>
      <c r="J604" s="211">
        <v>-0.27134491184688803</v>
      </c>
      <c r="K604" s="288">
        <v>-185.05722987957699</v>
      </c>
    </row>
    <row r="605" spans="2:11" x14ac:dyDescent="0.2">
      <c r="B605">
        <v>3</v>
      </c>
      <c r="C605">
        <v>1143</v>
      </c>
      <c r="D605" s="308" t="s">
        <v>1177</v>
      </c>
      <c r="E605" s="291">
        <v>4272</v>
      </c>
      <c r="F605" s="291">
        <v>1698</v>
      </c>
      <c r="G605" s="291">
        <v>1506</v>
      </c>
      <c r="H605" s="287">
        <v>0.39747191011235999</v>
      </c>
      <c r="I605" s="211">
        <v>3.9641434262948199</v>
      </c>
      <c r="J605" s="211">
        <v>-8.4875690208824697E-2</v>
      </c>
      <c r="K605" s="288">
        <v>-362.58894857209901</v>
      </c>
    </row>
    <row r="606" spans="2:11" x14ac:dyDescent="0.2">
      <c r="B606">
        <v>3</v>
      </c>
      <c r="C606">
        <v>1145</v>
      </c>
      <c r="D606" s="308" t="s">
        <v>1178</v>
      </c>
      <c r="E606" s="291">
        <v>891</v>
      </c>
      <c r="F606" s="291">
        <v>330</v>
      </c>
      <c r="G606" s="291">
        <v>1215</v>
      </c>
      <c r="H606" s="287">
        <v>0.37037037037037002</v>
      </c>
      <c r="I606" s="211">
        <v>1.00493827160494</v>
      </c>
      <c r="J606" s="211">
        <v>-0.35561236806992202</v>
      </c>
      <c r="K606" s="288">
        <v>-316.85061995029997</v>
      </c>
    </row>
    <row r="607" spans="2:11" x14ac:dyDescent="0.2">
      <c r="B607">
        <v>3</v>
      </c>
      <c r="C607">
        <v>1146</v>
      </c>
      <c r="D607" s="308" t="s">
        <v>1179</v>
      </c>
      <c r="E607" s="291">
        <v>2130</v>
      </c>
      <c r="F607" s="291">
        <v>649</v>
      </c>
      <c r="G607" s="291">
        <v>293</v>
      </c>
      <c r="H607" s="287">
        <v>0.30469483568075101</v>
      </c>
      <c r="I607" s="211">
        <v>9.4846416382252592</v>
      </c>
      <c r="J607" s="211">
        <v>-8.0269892492620801E-2</v>
      </c>
      <c r="K607" s="288">
        <v>-170.974871009282</v>
      </c>
    </row>
    <row r="608" spans="2:11" x14ac:dyDescent="0.2">
      <c r="B608">
        <v>3</v>
      </c>
      <c r="C608">
        <v>1147</v>
      </c>
      <c r="D608" s="308" t="s">
        <v>1180</v>
      </c>
      <c r="E608" s="291">
        <v>1506</v>
      </c>
      <c r="F608" s="291">
        <v>827</v>
      </c>
      <c r="G608" s="291">
        <v>826</v>
      </c>
      <c r="H608" s="287">
        <v>0.54913678618857897</v>
      </c>
      <c r="I608" s="211">
        <v>2.8244552058111401</v>
      </c>
      <c r="J608" s="211">
        <v>-4.4207163474719702E-2</v>
      </c>
      <c r="K608" s="288">
        <v>-66.575988192927795</v>
      </c>
    </row>
    <row r="609" spans="2:11" x14ac:dyDescent="0.2">
      <c r="B609">
        <v>3</v>
      </c>
      <c r="C609">
        <v>1150</v>
      </c>
      <c r="D609" s="308" t="s">
        <v>1181</v>
      </c>
      <c r="E609" s="291">
        <v>2025</v>
      </c>
      <c r="F609" s="291">
        <v>1486</v>
      </c>
      <c r="G609" s="291">
        <v>1379</v>
      </c>
      <c r="H609" s="287">
        <v>0.73382716049382701</v>
      </c>
      <c r="I609" s="211">
        <v>2.5460478607686698</v>
      </c>
      <c r="J609" s="211">
        <v>0.19432749279827199</v>
      </c>
      <c r="K609" s="288">
        <v>393.51317291650099</v>
      </c>
    </row>
    <row r="610" spans="2:11" x14ac:dyDescent="0.2">
      <c r="B610">
        <v>3</v>
      </c>
      <c r="C610">
        <v>1151</v>
      </c>
      <c r="D610" s="308" t="s">
        <v>1182</v>
      </c>
      <c r="E610" s="291">
        <v>7777</v>
      </c>
      <c r="F610" s="291">
        <v>4948</v>
      </c>
      <c r="G610" s="291">
        <v>4089</v>
      </c>
      <c r="H610" s="287">
        <v>0.636235052076636</v>
      </c>
      <c r="I610" s="211">
        <v>3.1120078258742998</v>
      </c>
      <c r="J610" s="211">
        <v>0.31382488442340301</v>
      </c>
      <c r="K610" s="288">
        <v>2440.6161261607999</v>
      </c>
    </row>
    <row r="611" spans="2:11" x14ac:dyDescent="0.2">
      <c r="B611">
        <v>4</v>
      </c>
      <c r="C611">
        <v>1201</v>
      </c>
      <c r="D611" s="308" t="s">
        <v>1183</v>
      </c>
      <c r="E611" s="291">
        <v>9211</v>
      </c>
      <c r="F611" s="291">
        <v>6904</v>
      </c>
      <c r="G611" s="291">
        <v>1001</v>
      </c>
      <c r="H611" s="287">
        <v>0.74953859515796295</v>
      </c>
      <c r="I611" s="211">
        <v>16.098901098901099</v>
      </c>
      <c r="J611" s="211">
        <v>0.98284840833101705</v>
      </c>
      <c r="K611" s="288">
        <v>9053.0166891370009</v>
      </c>
    </row>
    <row r="612" spans="2:11" x14ac:dyDescent="0.2">
      <c r="B612">
        <v>4</v>
      </c>
      <c r="C612">
        <v>1202</v>
      </c>
      <c r="D612" s="308" t="s">
        <v>1184</v>
      </c>
      <c r="E612" s="291">
        <v>1355</v>
      </c>
      <c r="F612" s="291">
        <v>1117</v>
      </c>
      <c r="G612" s="291">
        <v>2977</v>
      </c>
      <c r="H612" s="287">
        <v>0.82435424354243503</v>
      </c>
      <c r="I612" s="211">
        <v>0.83036614040980805</v>
      </c>
      <c r="J612" s="211">
        <v>0.21830806573882899</v>
      </c>
      <c r="K612" s="288">
        <v>295.80742907611398</v>
      </c>
    </row>
    <row r="613" spans="2:11" x14ac:dyDescent="0.2">
      <c r="B613">
        <v>4</v>
      </c>
      <c r="C613">
        <v>1203</v>
      </c>
      <c r="D613" s="308" t="s">
        <v>1185</v>
      </c>
      <c r="E613" s="291">
        <v>1650</v>
      </c>
      <c r="F613" s="291">
        <v>373</v>
      </c>
      <c r="G613" s="291">
        <v>2557</v>
      </c>
      <c r="H613" s="287">
        <v>0.22606060606060599</v>
      </c>
      <c r="I613" s="211">
        <v>0.79116151740320695</v>
      </c>
      <c r="J613" s="211">
        <v>-0.51323455558277997</v>
      </c>
      <c r="K613" s="288">
        <v>-846.83701671158701</v>
      </c>
    </row>
    <row r="614" spans="2:11" x14ac:dyDescent="0.2">
      <c r="B614">
        <v>4</v>
      </c>
      <c r="C614">
        <v>1204</v>
      </c>
      <c r="D614" s="308" t="s">
        <v>1186</v>
      </c>
      <c r="E614" s="291">
        <v>164</v>
      </c>
      <c r="F614" s="291">
        <v>36</v>
      </c>
      <c r="G614" s="291">
        <v>346</v>
      </c>
      <c r="H614" s="287">
        <v>0.219512195121951</v>
      </c>
      <c r="I614" s="211">
        <v>0.57803468208092501</v>
      </c>
      <c r="J614" s="211">
        <v>-0.58590435948743802</v>
      </c>
      <c r="K614" s="288">
        <v>-96.088314955939893</v>
      </c>
    </row>
    <row r="615" spans="2:11" x14ac:dyDescent="0.2">
      <c r="B615">
        <v>4</v>
      </c>
      <c r="C615">
        <v>1205</v>
      </c>
      <c r="D615" s="308" t="s">
        <v>1187</v>
      </c>
      <c r="E615" s="291">
        <v>4021</v>
      </c>
      <c r="F615" s="291">
        <v>1870</v>
      </c>
      <c r="G615" s="291">
        <v>4046</v>
      </c>
      <c r="H615" s="287">
        <v>0.46505844317334</v>
      </c>
      <c r="I615" s="211">
        <v>1.45600593178448</v>
      </c>
      <c r="J615" s="211">
        <v>-0.10222536757962999</v>
      </c>
      <c r="K615" s="288">
        <v>-411.04820303769401</v>
      </c>
    </row>
    <row r="616" spans="2:11" x14ac:dyDescent="0.2">
      <c r="B616">
        <v>4</v>
      </c>
      <c r="C616">
        <v>1206</v>
      </c>
      <c r="D616" s="308" t="s">
        <v>1188</v>
      </c>
      <c r="E616" s="291">
        <v>3765</v>
      </c>
      <c r="F616" s="291">
        <v>1486</v>
      </c>
      <c r="G616" s="291">
        <v>2674</v>
      </c>
      <c r="H616" s="287">
        <v>0.39468791500664002</v>
      </c>
      <c r="I616" s="211">
        <v>1.9637247569184699</v>
      </c>
      <c r="J616" s="211">
        <v>-0.18068340228893201</v>
      </c>
      <c r="K616" s="288">
        <v>-680.27300961782998</v>
      </c>
    </row>
    <row r="617" spans="2:11" x14ac:dyDescent="0.2">
      <c r="B617">
        <v>4</v>
      </c>
      <c r="C617">
        <v>1207</v>
      </c>
      <c r="D617" s="308" t="s">
        <v>1189</v>
      </c>
      <c r="E617" s="291">
        <v>2002</v>
      </c>
      <c r="F617" s="291">
        <v>887</v>
      </c>
      <c r="G617" s="291">
        <v>1099</v>
      </c>
      <c r="H617" s="287">
        <v>0.44305694305694299</v>
      </c>
      <c r="I617" s="211">
        <v>2.6287534121928999</v>
      </c>
      <c r="J617" s="211">
        <v>-0.16384582509135401</v>
      </c>
      <c r="K617" s="288">
        <v>-328.01934183289001</v>
      </c>
    </row>
    <row r="618" spans="2:11" x14ac:dyDescent="0.2">
      <c r="B618">
        <v>4</v>
      </c>
      <c r="C618">
        <v>1208</v>
      </c>
      <c r="D618" s="308" t="s">
        <v>1190</v>
      </c>
      <c r="E618" s="291">
        <v>450</v>
      </c>
      <c r="F618" s="291">
        <v>202</v>
      </c>
      <c r="G618" s="291">
        <v>2101</v>
      </c>
      <c r="H618" s="287">
        <v>0.448888888888889</v>
      </c>
      <c r="I618" s="211">
        <v>0.310328415040457</v>
      </c>
      <c r="J618" s="211">
        <v>-0.30050839356207798</v>
      </c>
      <c r="K618" s="288">
        <v>-135.228777102935</v>
      </c>
    </row>
    <row r="619" spans="2:11" x14ac:dyDescent="0.2">
      <c r="B619">
        <v>4</v>
      </c>
      <c r="C619">
        <v>1209</v>
      </c>
      <c r="D619" s="308" t="s">
        <v>1191</v>
      </c>
      <c r="E619" s="291">
        <v>563</v>
      </c>
      <c r="F619" s="291">
        <v>240</v>
      </c>
      <c r="G619" s="291">
        <v>3479</v>
      </c>
      <c r="H619" s="287">
        <v>0.42628774422735299</v>
      </c>
      <c r="I619" s="211">
        <v>0.23081345214141999</v>
      </c>
      <c r="J619" s="211">
        <v>-0.32709837137668102</v>
      </c>
      <c r="K619" s="288">
        <v>-184.15638308507101</v>
      </c>
    </row>
    <row r="620" spans="2:11" x14ac:dyDescent="0.2">
      <c r="B620">
        <v>4</v>
      </c>
      <c r="C620">
        <v>1210</v>
      </c>
      <c r="D620" s="308" t="s">
        <v>1192</v>
      </c>
      <c r="E620" s="291">
        <v>188</v>
      </c>
      <c r="F620" s="291">
        <v>44</v>
      </c>
      <c r="G620" s="291">
        <v>1501</v>
      </c>
      <c r="H620" s="287">
        <v>0.23404255319148901</v>
      </c>
      <c r="I620" s="211">
        <v>0.15456362425049999</v>
      </c>
      <c r="J620" s="211">
        <v>-0.58243226154683303</v>
      </c>
      <c r="K620" s="288">
        <v>-109.49726517080499</v>
      </c>
    </row>
    <row r="621" spans="2:11" x14ac:dyDescent="0.2">
      <c r="B621">
        <v>4</v>
      </c>
      <c r="C621">
        <v>1211</v>
      </c>
      <c r="D621" s="308" t="s">
        <v>1193</v>
      </c>
      <c r="E621" s="291">
        <v>503</v>
      </c>
      <c r="F621" s="291">
        <v>194</v>
      </c>
      <c r="G621" s="291">
        <v>3411</v>
      </c>
      <c r="H621" s="287">
        <v>0.385685884691849</v>
      </c>
      <c r="I621" s="211">
        <v>0.20433890354734699</v>
      </c>
      <c r="J621" s="211">
        <v>-0.38066923758354299</v>
      </c>
      <c r="K621" s="288">
        <v>-191.47662650452199</v>
      </c>
    </row>
    <row r="622" spans="2:11" x14ac:dyDescent="0.2">
      <c r="B622">
        <v>4</v>
      </c>
      <c r="C622">
        <v>1212</v>
      </c>
      <c r="D622" s="308" t="s">
        <v>1194</v>
      </c>
      <c r="E622" s="291">
        <v>145</v>
      </c>
      <c r="F622" s="291">
        <v>57</v>
      </c>
      <c r="G622" s="291">
        <v>3319</v>
      </c>
      <c r="H622" s="287">
        <v>0.39310344827586202</v>
      </c>
      <c r="I622" s="211">
        <v>6.0861705332931601E-2</v>
      </c>
      <c r="J622" s="211">
        <v>-0.39039144370794199</v>
      </c>
      <c r="K622" s="288">
        <v>-56.606759337651603</v>
      </c>
    </row>
    <row r="623" spans="2:11" x14ac:dyDescent="0.2">
      <c r="B623">
        <v>4</v>
      </c>
      <c r="C623">
        <v>1213</v>
      </c>
      <c r="D623" s="308" t="s">
        <v>1195</v>
      </c>
      <c r="E623" s="291">
        <v>5248</v>
      </c>
      <c r="F623" s="291">
        <v>2805</v>
      </c>
      <c r="G623" s="291">
        <v>1405</v>
      </c>
      <c r="H623" s="287">
        <v>0.53448932926829296</v>
      </c>
      <c r="I623" s="211">
        <v>5.7316725978647698</v>
      </c>
      <c r="J623" s="211">
        <v>0.18669248880765801</v>
      </c>
      <c r="K623" s="288">
        <v>979.76218126259096</v>
      </c>
    </row>
    <row r="624" spans="2:11" x14ac:dyDescent="0.2">
      <c r="B624">
        <v>4</v>
      </c>
      <c r="C624">
        <v>1214</v>
      </c>
      <c r="D624" s="308" t="s">
        <v>1196</v>
      </c>
      <c r="E624" s="291">
        <v>1794</v>
      </c>
      <c r="F624" s="291">
        <v>647</v>
      </c>
      <c r="G624" s="291">
        <v>1010</v>
      </c>
      <c r="H624" s="287">
        <v>0.360646599777035</v>
      </c>
      <c r="I624" s="211">
        <v>2.4168316831683199</v>
      </c>
      <c r="J624" s="211">
        <v>-0.28164534525500001</v>
      </c>
      <c r="K624" s="288">
        <v>-505.27174938746998</v>
      </c>
    </row>
    <row r="625" spans="2:11" x14ac:dyDescent="0.2">
      <c r="B625">
        <v>4</v>
      </c>
      <c r="C625">
        <v>1215</v>
      </c>
      <c r="D625" s="308" t="s">
        <v>1197</v>
      </c>
      <c r="E625" s="291">
        <v>683</v>
      </c>
      <c r="F625" s="291">
        <v>237</v>
      </c>
      <c r="G625" s="291">
        <v>1172</v>
      </c>
      <c r="H625" s="287">
        <v>0.34699853587115698</v>
      </c>
      <c r="I625" s="211">
        <v>0.78498293515358397</v>
      </c>
      <c r="J625" s="211">
        <v>-0.40054659255178898</v>
      </c>
      <c r="K625" s="288">
        <v>-273.57332271287203</v>
      </c>
    </row>
    <row r="626" spans="2:11" x14ac:dyDescent="0.2">
      <c r="B626">
        <v>4</v>
      </c>
      <c r="C626">
        <v>1216</v>
      </c>
      <c r="D626" s="308" t="s">
        <v>1198</v>
      </c>
      <c r="E626" s="291">
        <v>2045</v>
      </c>
      <c r="F626" s="291">
        <v>484</v>
      </c>
      <c r="G626" s="291">
        <v>4941</v>
      </c>
      <c r="H626" s="287">
        <v>0.23667481662591699</v>
      </c>
      <c r="I626" s="211">
        <v>0.51183970856102001</v>
      </c>
      <c r="J626" s="211">
        <v>-0.49518017922760399</v>
      </c>
      <c r="K626" s="288">
        <v>-1012.64346652045</v>
      </c>
    </row>
    <row r="627" spans="2:11" x14ac:dyDescent="0.2">
      <c r="B627">
        <v>4</v>
      </c>
      <c r="C627">
        <v>1217</v>
      </c>
      <c r="D627" s="308" t="s">
        <v>1199</v>
      </c>
      <c r="E627" s="291">
        <v>373</v>
      </c>
      <c r="F627" s="291">
        <v>83</v>
      </c>
      <c r="G627" s="291">
        <v>1343</v>
      </c>
      <c r="H627" s="287">
        <v>0.22252010723860599</v>
      </c>
      <c r="I627" s="211">
        <v>0.33953834698436303</v>
      </c>
      <c r="J627" s="211">
        <v>-0.58289287104759202</v>
      </c>
      <c r="K627" s="288">
        <v>-217.41904090075201</v>
      </c>
    </row>
    <row r="628" spans="2:11" x14ac:dyDescent="0.2">
      <c r="B628">
        <v>4</v>
      </c>
      <c r="C628">
        <v>1218</v>
      </c>
      <c r="D628" s="308" t="s">
        <v>1200</v>
      </c>
      <c r="E628" s="291">
        <v>834</v>
      </c>
      <c r="F628" s="291">
        <v>262</v>
      </c>
      <c r="G628" s="291">
        <v>3754</v>
      </c>
      <c r="H628" s="287">
        <v>0.31414868105515598</v>
      </c>
      <c r="I628" s="211">
        <v>0.29195524773574899</v>
      </c>
      <c r="J628" s="211">
        <v>-0.453471541014694</v>
      </c>
      <c r="K628" s="288">
        <v>-378.19526520625402</v>
      </c>
    </row>
    <row r="629" spans="2:11" x14ac:dyDescent="0.2">
      <c r="B629">
        <v>4</v>
      </c>
      <c r="C629">
        <v>1219</v>
      </c>
      <c r="D629" s="308" t="s">
        <v>1201</v>
      </c>
      <c r="E629" s="291">
        <v>710</v>
      </c>
      <c r="F629" s="291">
        <v>207</v>
      </c>
      <c r="G629" s="291">
        <v>4077</v>
      </c>
      <c r="H629" s="287">
        <v>0.291549295774648</v>
      </c>
      <c r="I629" s="211">
        <v>0.224920284522934</v>
      </c>
      <c r="J629" s="211">
        <v>-0.48865964759914599</v>
      </c>
      <c r="K629" s="288">
        <v>-346.94834979539399</v>
      </c>
    </row>
    <row r="630" spans="2:11" x14ac:dyDescent="0.2">
      <c r="B630">
        <v>4</v>
      </c>
      <c r="C630">
        <v>1220</v>
      </c>
      <c r="D630" s="308" t="s">
        <v>1202</v>
      </c>
      <c r="E630" s="291">
        <v>441</v>
      </c>
      <c r="F630" s="291">
        <v>239</v>
      </c>
      <c r="G630" s="291">
        <v>3437</v>
      </c>
      <c r="H630" s="287">
        <v>0.54195011337868504</v>
      </c>
      <c r="I630" s="211">
        <v>0.197846959557754</v>
      </c>
      <c r="J630" s="211">
        <v>-0.18963805463726499</v>
      </c>
      <c r="K630" s="288">
        <v>-83.630382095033795</v>
      </c>
    </row>
    <row r="631" spans="2:11" x14ac:dyDescent="0.2">
      <c r="B631">
        <v>5</v>
      </c>
      <c r="C631">
        <v>1301</v>
      </c>
      <c r="D631" s="308" t="s">
        <v>1203</v>
      </c>
      <c r="E631" s="291">
        <v>15361</v>
      </c>
      <c r="F631" s="291">
        <v>6726</v>
      </c>
      <c r="G631" s="291">
        <v>9615</v>
      </c>
      <c r="H631" s="287">
        <v>0.43786211835166999</v>
      </c>
      <c r="I631" s="211">
        <v>2.2971398855954202</v>
      </c>
      <c r="J631" s="211">
        <v>0.32805825012263701</v>
      </c>
      <c r="K631" s="288">
        <v>5039.3027801338203</v>
      </c>
    </row>
    <row r="632" spans="2:11" x14ac:dyDescent="0.2">
      <c r="B632">
        <v>5</v>
      </c>
      <c r="C632">
        <v>1311</v>
      </c>
      <c r="D632" s="308" t="s">
        <v>1204</v>
      </c>
      <c r="E632" s="291">
        <v>2260</v>
      </c>
      <c r="F632" s="291">
        <v>634</v>
      </c>
      <c r="G632" s="291">
        <v>1408</v>
      </c>
      <c r="H632" s="287">
        <v>0.28053097345132699</v>
      </c>
      <c r="I632" s="211">
        <v>2.0553977272727302</v>
      </c>
      <c r="J632" s="211">
        <v>-0.37630313615695499</v>
      </c>
      <c r="K632" s="288">
        <v>-850.44508771471897</v>
      </c>
    </row>
    <row r="633" spans="2:11" x14ac:dyDescent="0.2">
      <c r="B633">
        <v>5</v>
      </c>
      <c r="C633">
        <v>1321</v>
      </c>
      <c r="D633" s="308" t="s">
        <v>1205</v>
      </c>
      <c r="E633" s="291">
        <v>5237</v>
      </c>
      <c r="F633" s="291">
        <v>3245</v>
      </c>
      <c r="G633" s="291">
        <v>1723</v>
      </c>
      <c r="H633" s="287">
        <v>0.61962955890777205</v>
      </c>
      <c r="I633" s="211">
        <v>4.9228090539756204</v>
      </c>
      <c r="J633" s="211">
        <v>0.26226335308693299</v>
      </c>
      <c r="K633" s="288">
        <v>1373.47318011627</v>
      </c>
    </row>
    <row r="634" spans="2:11" x14ac:dyDescent="0.2">
      <c r="B634">
        <v>5</v>
      </c>
      <c r="C634">
        <v>1322</v>
      </c>
      <c r="D634" s="308" t="s">
        <v>1206</v>
      </c>
      <c r="E634" s="291">
        <v>16196</v>
      </c>
      <c r="F634" s="291">
        <v>14412</v>
      </c>
      <c r="G634" s="291">
        <v>1317</v>
      </c>
      <c r="H634" s="287">
        <v>0.88984934551741202</v>
      </c>
      <c r="I634" s="211">
        <v>23.240698557327299</v>
      </c>
      <c r="J634" s="211">
        <v>1.6841795446960599</v>
      </c>
      <c r="K634" s="288">
        <v>27276.971905897401</v>
      </c>
    </row>
    <row r="635" spans="2:11" x14ac:dyDescent="0.2">
      <c r="B635">
        <v>5</v>
      </c>
      <c r="C635">
        <v>1323</v>
      </c>
      <c r="D635" s="308" t="s">
        <v>1207</v>
      </c>
      <c r="E635" s="291">
        <v>7102</v>
      </c>
      <c r="F635" s="291">
        <v>4059</v>
      </c>
      <c r="G635" s="291">
        <v>623</v>
      </c>
      <c r="H635" s="287">
        <v>0.57152914671923405</v>
      </c>
      <c r="I635" s="211">
        <v>17.914927768860402</v>
      </c>
      <c r="J635" s="211">
        <v>0.74793981478756599</v>
      </c>
      <c r="K635" s="288">
        <v>5311.8685646212898</v>
      </c>
    </row>
    <row r="636" spans="2:11" x14ac:dyDescent="0.2">
      <c r="B636">
        <v>5</v>
      </c>
      <c r="C636">
        <v>1331</v>
      </c>
      <c r="D636" s="308" t="s">
        <v>1208</v>
      </c>
      <c r="E636" s="291">
        <v>12512</v>
      </c>
      <c r="F636" s="291">
        <v>6822</v>
      </c>
      <c r="G636" s="291">
        <v>2912</v>
      </c>
      <c r="H636" s="287">
        <v>0.54523657289002603</v>
      </c>
      <c r="I636" s="211">
        <v>6.6394230769230802</v>
      </c>
      <c r="J636" s="211">
        <v>0.51068313606712601</v>
      </c>
      <c r="K636" s="288">
        <v>6389.66739847188</v>
      </c>
    </row>
    <row r="637" spans="2:11" x14ac:dyDescent="0.2">
      <c r="B637">
        <v>5</v>
      </c>
      <c r="C637">
        <v>1341</v>
      </c>
      <c r="D637" s="308" t="s">
        <v>1209</v>
      </c>
      <c r="E637" s="291">
        <v>6907</v>
      </c>
      <c r="F637" s="291">
        <v>3828</v>
      </c>
      <c r="G637" s="291">
        <v>2036</v>
      </c>
      <c r="H637" s="287">
        <v>0.55422035616041698</v>
      </c>
      <c r="I637" s="211">
        <v>5.2725933202357602</v>
      </c>
      <c r="J637" s="211">
        <v>0.25778237855882302</v>
      </c>
      <c r="K637" s="288">
        <v>1780.5028887057899</v>
      </c>
    </row>
    <row r="638" spans="2:11" x14ac:dyDescent="0.2">
      <c r="B638">
        <v>5</v>
      </c>
      <c r="C638">
        <v>1342</v>
      </c>
      <c r="D638" s="308" t="s">
        <v>1210</v>
      </c>
      <c r="E638" s="291">
        <v>5199</v>
      </c>
      <c r="F638" s="291">
        <v>1259</v>
      </c>
      <c r="G638" s="291">
        <v>1308</v>
      </c>
      <c r="H638" s="287">
        <v>0.24216195422196601</v>
      </c>
      <c r="I638" s="211">
        <v>4.9373088685015301</v>
      </c>
      <c r="J638" s="211">
        <v>-0.20640390119025701</v>
      </c>
      <c r="K638" s="288">
        <v>-1073.0938822881501</v>
      </c>
    </row>
    <row r="639" spans="2:11" x14ac:dyDescent="0.2">
      <c r="B639">
        <v>5</v>
      </c>
      <c r="C639">
        <v>1343</v>
      </c>
      <c r="D639" s="308" t="s">
        <v>1211</v>
      </c>
      <c r="E639" s="291">
        <v>193</v>
      </c>
      <c r="F639" s="291">
        <v>49</v>
      </c>
      <c r="G639" s="291">
        <v>3433</v>
      </c>
      <c r="H639" s="287">
        <v>0.25388601036269398</v>
      </c>
      <c r="I639" s="211">
        <v>7.0492280803961596E-2</v>
      </c>
      <c r="J639" s="211">
        <v>-0.56071927363383101</v>
      </c>
      <c r="K639" s="288">
        <v>-108.218819811329</v>
      </c>
    </row>
    <row r="640" spans="2:11" x14ac:dyDescent="0.2">
      <c r="B640">
        <v>5</v>
      </c>
      <c r="C640">
        <v>1344</v>
      </c>
      <c r="D640" s="308" t="s">
        <v>1212</v>
      </c>
      <c r="E640" s="291">
        <v>8599</v>
      </c>
      <c r="F640" s="291">
        <v>4921</v>
      </c>
      <c r="G640" s="291">
        <v>231</v>
      </c>
      <c r="H640" s="287">
        <v>0.57227584602860804</v>
      </c>
      <c r="I640" s="211">
        <v>58.528138528138498</v>
      </c>
      <c r="J640" s="211">
        <v>2.28784597114951</v>
      </c>
      <c r="K640" s="288">
        <v>19673.1875059146</v>
      </c>
    </row>
    <row r="641" spans="2:11" x14ac:dyDescent="0.2">
      <c r="B641">
        <v>5</v>
      </c>
      <c r="C641">
        <v>1345</v>
      </c>
      <c r="D641" s="308" t="s">
        <v>1213</v>
      </c>
      <c r="E641" s="291">
        <v>3566</v>
      </c>
      <c r="F641" s="291">
        <v>1123</v>
      </c>
      <c r="G641" s="291">
        <v>1136</v>
      </c>
      <c r="H641" s="287">
        <v>0.31491867638811</v>
      </c>
      <c r="I641" s="211">
        <v>4.1276408450704203</v>
      </c>
      <c r="J641" s="211">
        <v>-0.20818334654169099</v>
      </c>
      <c r="K641" s="288">
        <v>-742.38181376767102</v>
      </c>
    </row>
    <row r="642" spans="2:11" x14ac:dyDescent="0.2">
      <c r="B642">
        <v>5</v>
      </c>
      <c r="C642">
        <v>1346</v>
      </c>
      <c r="D642" s="308" t="s">
        <v>1214</v>
      </c>
      <c r="E642" s="291">
        <v>9073</v>
      </c>
      <c r="F642" s="291">
        <v>2844</v>
      </c>
      <c r="G642" s="291">
        <v>2826</v>
      </c>
      <c r="H642" s="287">
        <v>0.31345751129725602</v>
      </c>
      <c r="I642" s="211">
        <v>4.2169143665959004</v>
      </c>
      <c r="J642" s="211">
        <v>3.68274128709052E-3</v>
      </c>
      <c r="K642" s="288">
        <v>33.4135116977723</v>
      </c>
    </row>
    <row r="643" spans="2:11" x14ac:dyDescent="0.2">
      <c r="B643">
        <v>5</v>
      </c>
      <c r="C643">
        <v>1347</v>
      </c>
      <c r="D643" s="308" t="s">
        <v>1215</v>
      </c>
      <c r="E643" s="291">
        <v>3239</v>
      </c>
      <c r="F643" s="291">
        <v>1386</v>
      </c>
      <c r="G643" s="291">
        <v>1305</v>
      </c>
      <c r="H643" s="287">
        <v>0.42790984871873999</v>
      </c>
      <c r="I643" s="211">
        <v>3.5440613026819898</v>
      </c>
      <c r="J643" s="211">
        <v>-0.101955252074366</v>
      </c>
      <c r="K643" s="288">
        <v>-330.23306146887103</v>
      </c>
    </row>
    <row r="644" spans="2:11" x14ac:dyDescent="0.2">
      <c r="B644">
        <v>5</v>
      </c>
      <c r="C644">
        <v>1348</v>
      </c>
      <c r="D644" s="308" t="s">
        <v>1216</v>
      </c>
      <c r="E644" s="291">
        <v>1016</v>
      </c>
      <c r="F644" s="291">
        <v>255</v>
      </c>
      <c r="G644" s="291">
        <v>2713</v>
      </c>
      <c r="H644" s="287">
        <v>0.25098425196850399</v>
      </c>
      <c r="I644" s="211">
        <v>0.46848507187615201</v>
      </c>
      <c r="J644" s="211">
        <v>-0.51834778685795402</v>
      </c>
      <c r="K644" s="288">
        <v>-526.64135144768102</v>
      </c>
    </row>
    <row r="645" spans="2:11" x14ac:dyDescent="0.2">
      <c r="B645">
        <v>5</v>
      </c>
      <c r="C645">
        <v>1349</v>
      </c>
      <c r="D645" s="308" t="s">
        <v>1217</v>
      </c>
      <c r="E645" s="291">
        <v>4989</v>
      </c>
      <c r="F645" s="291">
        <v>1720</v>
      </c>
      <c r="G645" s="291">
        <v>810</v>
      </c>
      <c r="H645" s="287">
        <v>0.34475846863098802</v>
      </c>
      <c r="I645" s="211">
        <v>8.2827160493827208</v>
      </c>
      <c r="J645" s="211">
        <v>3.4763897610511102E-2</v>
      </c>
      <c r="K645" s="288">
        <v>173.43708517883999</v>
      </c>
    </row>
    <row r="646" spans="2:11" x14ac:dyDescent="0.2">
      <c r="B646">
        <v>5</v>
      </c>
      <c r="C646">
        <v>1361</v>
      </c>
      <c r="D646" s="308" t="s">
        <v>1218</v>
      </c>
      <c r="E646" s="291">
        <v>612</v>
      </c>
      <c r="F646" s="291">
        <v>185</v>
      </c>
      <c r="G646" s="291">
        <v>2224</v>
      </c>
      <c r="H646" s="287">
        <v>0.302287581699346</v>
      </c>
      <c r="I646" s="211">
        <v>0.35836330935251798</v>
      </c>
      <c r="J646" s="211">
        <v>-0.47422898062873298</v>
      </c>
      <c r="K646" s="288">
        <v>-290.228136144784</v>
      </c>
    </row>
    <row r="647" spans="2:11" x14ac:dyDescent="0.2">
      <c r="B647">
        <v>5</v>
      </c>
      <c r="C647">
        <v>1362</v>
      </c>
      <c r="D647" s="308" t="s">
        <v>1219</v>
      </c>
      <c r="E647" s="291">
        <v>11735</v>
      </c>
      <c r="F647" s="291">
        <v>3975</v>
      </c>
      <c r="G647" s="291">
        <v>3987</v>
      </c>
      <c r="H647" s="287">
        <v>0.33873029399233101</v>
      </c>
      <c r="I647" s="211">
        <v>3.94030599448207</v>
      </c>
      <c r="J647" s="211">
        <v>0.12662136235313301</v>
      </c>
      <c r="K647" s="288">
        <v>1485.9016872140101</v>
      </c>
    </row>
    <row r="648" spans="2:11" x14ac:dyDescent="0.2">
      <c r="B648">
        <v>5</v>
      </c>
      <c r="C648">
        <v>1363</v>
      </c>
      <c r="D648" s="308" t="s">
        <v>1220</v>
      </c>
      <c r="E648" s="291">
        <v>794</v>
      </c>
      <c r="F648" s="291">
        <v>214</v>
      </c>
      <c r="G648" s="291">
        <v>1069</v>
      </c>
      <c r="H648" s="287">
        <v>0.26952141057934498</v>
      </c>
      <c r="I648" s="211">
        <v>0.94293732460243196</v>
      </c>
      <c r="J648" s="211">
        <v>-0.48654921927477102</v>
      </c>
      <c r="K648" s="288">
        <v>-386.32008010416803</v>
      </c>
    </row>
    <row r="649" spans="2:11" x14ac:dyDescent="0.2">
      <c r="B649">
        <v>5</v>
      </c>
      <c r="C649">
        <v>1364</v>
      </c>
      <c r="D649" s="308" t="s">
        <v>1221</v>
      </c>
      <c r="E649" s="291">
        <v>8758</v>
      </c>
      <c r="F649" s="291">
        <v>3468</v>
      </c>
      <c r="G649" s="291">
        <v>1284</v>
      </c>
      <c r="H649" s="287">
        <v>0.39598081753825098</v>
      </c>
      <c r="I649" s="211">
        <v>9.5218068535825502</v>
      </c>
      <c r="J649" s="211">
        <v>0.28745676786299301</v>
      </c>
      <c r="K649" s="288">
        <v>2517.5463729440899</v>
      </c>
    </row>
    <row r="650" spans="2:11" x14ac:dyDescent="0.2">
      <c r="B650">
        <v>5</v>
      </c>
      <c r="C650">
        <v>1365</v>
      </c>
      <c r="D650" s="308" t="s">
        <v>1222</v>
      </c>
      <c r="E650" s="291">
        <v>1067</v>
      </c>
      <c r="F650" s="291">
        <v>216</v>
      </c>
      <c r="G650" s="291">
        <v>775</v>
      </c>
      <c r="H650" s="287">
        <v>0.20243673851921301</v>
      </c>
      <c r="I650" s="211">
        <v>1.65548387096774</v>
      </c>
      <c r="J650" s="211">
        <v>-0.53324954824806403</v>
      </c>
      <c r="K650" s="288">
        <v>-568.97726798068402</v>
      </c>
    </row>
    <row r="651" spans="2:11" x14ac:dyDescent="0.2">
      <c r="B651">
        <v>5</v>
      </c>
      <c r="C651">
        <v>1366</v>
      </c>
      <c r="D651" s="308" t="s">
        <v>1223</v>
      </c>
      <c r="E651" s="291">
        <v>1107</v>
      </c>
      <c r="F651" s="291">
        <v>786</v>
      </c>
      <c r="G651" s="291">
        <v>1932</v>
      </c>
      <c r="H651" s="287">
        <v>0.71002710027100302</v>
      </c>
      <c r="I651" s="211">
        <v>0.97981366459627295</v>
      </c>
      <c r="J651" s="211">
        <v>7.2614643576651497E-2</v>
      </c>
      <c r="K651" s="288">
        <v>80.384410439353204</v>
      </c>
    </row>
    <row r="652" spans="2:11" x14ac:dyDescent="0.2">
      <c r="B652">
        <v>5</v>
      </c>
      <c r="C652">
        <v>1367</v>
      </c>
      <c r="D652" s="308" t="s">
        <v>1224</v>
      </c>
      <c r="E652" s="291">
        <v>3543</v>
      </c>
      <c r="F652" s="291">
        <v>1470</v>
      </c>
      <c r="G652" s="291">
        <v>9928</v>
      </c>
      <c r="H652" s="287">
        <v>0.41490262489415702</v>
      </c>
      <c r="I652" s="211">
        <v>0.50493553585817896</v>
      </c>
      <c r="J652" s="211">
        <v>-0.217340783708003</v>
      </c>
      <c r="K652" s="288">
        <v>-770.03839667745501</v>
      </c>
    </row>
    <row r="653" spans="2:11" x14ac:dyDescent="0.2">
      <c r="B653">
        <v>5</v>
      </c>
      <c r="C653">
        <v>1368</v>
      </c>
      <c r="D653" s="308" t="s">
        <v>1225</v>
      </c>
      <c r="E653" s="291">
        <v>885</v>
      </c>
      <c r="F653" s="291">
        <v>440</v>
      </c>
      <c r="G653" s="291">
        <v>3029</v>
      </c>
      <c r="H653" s="287">
        <v>0.49717514124293799</v>
      </c>
      <c r="I653" s="211">
        <v>0.43743809838230402</v>
      </c>
      <c r="J653" s="211">
        <v>-0.21941505873977399</v>
      </c>
      <c r="K653" s="288">
        <v>-194.18232698470001</v>
      </c>
    </row>
    <row r="654" spans="2:11" x14ac:dyDescent="0.2">
      <c r="B654">
        <v>5</v>
      </c>
      <c r="C654">
        <v>1369</v>
      </c>
      <c r="D654" s="308" t="s">
        <v>1226</v>
      </c>
      <c r="E654" s="291">
        <v>88</v>
      </c>
      <c r="F654" s="291">
        <v>45</v>
      </c>
      <c r="G654" s="291">
        <v>880</v>
      </c>
      <c r="H654" s="287">
        <v>0.51136363636363602</v>
      </c>
      <c r="I654" s="211">
        <v>0.15113636363636401</v>
      </c>
      <c r="J654" s="211">
        <v>-0.24273190877385101</v>
      </c>
      <c r="K654" s="288">
        <v>-21.360407972098901</v>
      </c>
    </row>
    <row r="655" spans="2:11" x14ac:dyDescent="0.2">
      <c r="B655">
        <v>5</v>
      </c>
      <c r="C655">
        <v>1370</v>
      </c>
      <c r="D655" s="308" t="s">
        <v>1227</v>
      </c>
      <c r="E655" s="291">
        <v>2375</v>
      </c>
      <c r="F655" s="291">
        <v>853</v>
      </c>
      <c r="G655" s="291">
        <v>2185</v>
      </c>
      <c r="H655" s="287">
        <v>0.35915789473684201</v>
      </c>
      <c r="I655" s="211">
        <v>1.47734553775744</v>
      </c>
      <c r="J655" s="211">
        <v>-0.295567737472818</v>
      </c>
      <c r="K655" s="288">
        <v>-701.97337649794201</v>
      </c>
    </row>
    <row r="656" spans="2:11" x14ac:dyDescent="0.2">
      <c r="B656">
        <v>5</v>
      </c>
      <c r="C656">
        <v>1371</v>
      </c>
      <c r="D656" s="308" t="s">
        <v>1228</v>
      </c>
      <c r="E656" s="291">
        <v>1926</v>
      </c>
      <c r="F656" s="291">
        <v>612</v>
      </c>
      <c r="G656" s="291">
        <v>1716</v>
      </c>
      <c r="H656" s="287">
        <v>0.31775700934579398</v>
      </c>
      <c r="I656" s="211">
        <v>1.4790209790209801</v>
      </c>
      <c r="J656" s="211">
        <v>-0.36396515337489099</v>
      </c>
      <c r="K656" s="288">
        <v>-700.99688540004104</v>
      </c>
    </row>
    <row r="657" spans="2:11" x14ac:dyDescent="0.2">
      <c r="B657">
        <v>5</v>
      </c>
      <c r="C657">
        <v>1372</v>
      </c>
      <c r="D657" s="308" t="s">
        <v>1229</v>
      </c>
      <c r="E657" s="291">
        <v>14885</v>
      </c>
      <c r="F657" s="291">
        <v>12211</v>
      </c>
      <c r="G657" s="291">
        <v>5013</v>
      </c>
      <c r="H657" s="287">
        <v>0.82035606315082299</v>
      </c>
      <c r="I657" s="211">
        <v>5.4051466187911403</v>
      </c>
      <c r="J657" s="211">
        <v>0.89723958730342501</v>
      </c>
      <c r="K657" s="288">
        <v>13355.411257011499</v>
      </c>
    </row>
    <row r="658" spans="2:11" x14ac:dyDescent="0.2">
      <c r="B658">
        <v>5</v>
      </c>
      <c r="C658">
        <v>1373</v>
      </c>
      <c r="D658" s="308" t="s">
        <v>1230</v>
      </c>
      <c r="E658" s="291">
        <v>3358</v>
      </c>
      <c r="F658" s="291">
        <v>1218</v>
      </c>
      <c r="G658" s="291">
        <v>1002</v>
      </c>
      <c r="H658" s="287">
        <v>0.36271590232281098</v>
      </c>
      <c r="I658" s="211">
        <v>4.5668662674650697</v>
      </c>
      <c r="J658" s="211">
        <v>-0.14087707806701599</v>
      </c>
      <c r="K658" s="288">
        <v>-473.06522814904002</v>
      </c>
    </row>
    <row r="659" spans="2:11" x14ac:dyDescent="0.2">
      <c r="B659">
        <v>5</v>
      </c>
      <c r="C659">
        <v>1374</v>
      </c>
      <c r="D659" s="308" t="s">
        <v>1231</v>
      </c>
      <c r="E659" s="291">
        <v>916</v>
      </c>
      <c r="F659" s="291">
        <v>338</v>
      </c>
      <c r="G659" s="291">
        <v>692</v>
      </c>
      <c r="H659" s="287">
        <v>0.36899563318777301</v>
      </c>
      <c r="I659" s="211">
        <v>1.8121387283237</v>
      </c>
      <c r="J659" s="211">
        <v>-0.326909782676161</v>
      </c>
      <c r="K659" s="288">
        <v>-299.449360931363</v>
      </c>
    </row>
    <row r="660" spans="2:11" x14ac:dyDescent="0.2">
      <c r="B660">
        <v>5</v>
      </c>
      <c r="C660">
        <v>1375</v>
      </c>
      <c r="D660" s="308" t="s">
        <v>1232</v>
      </c>
      <c r="E660" s="291">
        <v>2365</v>
      </c>
      <c r="F660" s="291">
        <v>836</v>
      </c>
      <c r="G660" s="291">
        <v>3828</v>
      </c>
      <c r="H660" s="287">
        <v>0.35348837209302297</v>
      </c>
      <c r="I660" s="211">
        <v>0.83620689655172398</v>
      </c>
      <c r="J660" s="211">
        <v>-0.32636737576854102</v>
      </c>
      <c r="K660" s="288">
        <v>-771.85884369259998</v>
      </c>
    </row>
    <row r="661" spans="2:11" x14ac:dyDescent="0.2">
      <c r="B661">
        <v>6</v>
      </c>
      <c r="C661">
        <v>1401</v>
      </c>
      <c r="D661" s="308" t="s">
        <v>1233</v>
      </c>
      <c r="E661" s="291">
        <v>5997</v>
      </c>
      <c r="F661" s="291">
        <v>3058</v>
      </c>
      <c r="G661" s="291">
        <v>4924</v>
      </c>
      <c r="H661" s="287">
        <v>0.50992162748040704</v>
      </c>
      <c r="I661" s="211">
        <v>1.8389520714865999</v>
      </c>
      <c r="J661" s="211">
        <v>4.28412619535391E-2</v>
      </c>
      <c r="K661" s="288">
        <v>256.91904793537401</v>
      </c>
    </row>
    <row r="662" spans="2:11" x14ac:dyDescent="0.2">
      <c r="B662">
        <v>6</v>
      </c>
      <c r="C662">
        <v>1402</v>
      </c>
      <c r="D662" s="308" t="s">
        <v>1234</v>
      </c>
      <c r="E662" s="291">
        <v>4134</v>
      </c>
      <c r="F662" s="291">
        <v>2552</v>
      </c>
      <c r="G662" s="291">
        <v>4242</v>
      </c>
      <c r="H662" s="287">
        <v>0.61731978713110802</v>
      </c>
      <c r="I662" s="211">
        <v>1.57614332861858</v>
      </c>
      <c r="J662" s="211">
        <v>9.5152338668495803E-2</v>
      </c>
      <c r="K662" s="288">
        <v>393.35976805556197</v>
      </c>
    </row>
    <row r="663" spans="2:11" x14ac:dyDescent="0.2">
      <c r="B663">
        <v>6</v>
      </c>
      <c r="C663">
        <v>1403</v>
      </c>
      <c r="D663" s="308" t="s">
        <v>1235</v>
      </c>
      <c r="E663" s="291">
        <v>3631</v>
      </c>
      <c r="F663" s="291">
        <v>1312</v>
      </c>
      <c r="G663" s="291">
        <v>7899</v>
      </c>
      <c r="H663" s="287">
        <v>0.36133296612503402</v>
      </c>
      <c r="I663" s="211">
        <v>0.62577541460944397</v>
      </c>
      <c r="J663" s="211">
        <v>-0.27595108333178398</v>
      </c>
      <c r="K663" s="288">
        <v>-1001.97838357771</v>
      </c>
    </row>
    <row r="664" spans="2:11" x14ac:dyDescent="0.2">
      <c r="B664">
        <v>6</v>
      </c>
      <c r="C664">
        <v>1404</v>
      </c>
      <c r="D664" s="308" t="s">
        <v>1236</v>
      </c>
      <c r="E664" s="291">
        <v>6194</v>
      </c>
      <c r="F664" s="291">
        <v>2488</v>
      </c>
      <c r="G664" s="291">
        <v>7189</v>
      </c>
      <c r="H664" s="287">
        <v>0.40167904423635797</v>
      </c>
      <c r="I664" s="211">
        <v>1.2076783975518199</v>
      </c>
      <c r="J664" s="211">
        <v>-0.10679395015628</v>
      </c>
      <c r="K664" s="288">
        <v>-661.48172726799805</v>
      </c>
    </row>
    <row r="665" spans="2:11" x14ac:dyDescent="0.2">
      <c r="B665">
        <v>6</v>
      </c>
      <c r="C665">
        <v>1405</v>
      </c>
      <c r="D665" s="308" t="s">
        <v>1237</v>
      </c>
      <c r="E665" s="291">
        <v>2129</v>
      </c>
      <c r="F665" s="291">
        <v>1158</v>
      </c>
      <c r="G665" s="291">
        <v>3974</v>
      </c>
      <c r="H665" s="287">
        <v>0.54391733208078896</v>
      </c>
      <c r="I665" s="211">
        <v>0.82712632108706596</v>
      </c>
      <c r="J665" s="211">
        <v>-9.9743377075857204E-2</v>
      </c>
      <c r="K665" s="288">
        <v>-212.3536497945</v>
      </c>
    </row>
    <row r="666" spans="2:11" x14ac:dyDescent="0.2">
      <c r="B666">
        <v>6</v>
      </c>
      <c r="C666">
        <v>1406</v>
      </c>
      <c r="D666" s="308" t="s">
        <v>1238</v>
      </c>
      <c r="E666" s="291">
        <v>5060</v>
      </c>
      <c r="F666" s="291">
        <v>3089</v>
      </c>
      <c r="G666" s="291">
        <v>4751</v>
      </c>
      <c r="H666" s="287">
        <v>0.61047430830039495</v>
      </c>
      <c r="I666" s="211">
        <v>1.71521784887392</v>
      </c>
      <c r="J666" s="211">
        <v>0.12712579778044</v>
      </c>
      <c r="K666" s="288">
        <v>643.25653676902402</v>
      </c>
    </row>
    <row r="667" spans="2:11" x14ac:dyDescent="0.2">
      <c r="B667">
        <v>6</v>
      </c>
      <c r="C667">
        <v>1407</v>
      </c>
      <c r="D667" s="308" t="s">
        <v>1239</v>
      </c>
      <c r="E667" s="291">
        <v>10233</v>
      </c>
      <c r="F667" s="291">
        <v>8216</v>
      </c>
      <c r="G667" s="291">
        <v>7049</v>
      </c>
      <c r="H667" s="287">
        <v>0.80289260236489801</v>
      </c>
      <c r="I667" s="211">
        <v>2.6172506738544499</v>
      </c>
      <c r="J667" s="211">
        <v>0.59613208715452004</v>
      </c>
      <c r="K667" s="288">
        <v>6100.2196478522001</v>
      </c>
    </row>
    <row r="668" spans="2:11" x14ac:dyDescent="0.2">
      <c r="B668">
        <v>7</v>
      </c>
      <c r="C668">
        <v>1501</v>
      </c>
      <c r="D668" s="308" t="s">
        <v>1240</v>
      </c>
      <c r="E668" s="291">
        <v>3567</v>
      </c>
      <c r="F668" s="291">
        <v>1152</v>
      </c>
      <c r="G668" s="291">
        <v>2222</v>
      </c>
      <c r="H668" s="287">
        <v>0.32296047098401998</v>
      </c>
      <c r="I668" s="211">
        <v>2.1237623762376199</v>
      </c>
      <c r="J668" s="211">
        <v>-0.271291949123039</v>
      </c>
      <c r="K668" s="288">
        <v>-967.69838252188094</v>
      </c>
    </row>
    <row r="669" spans="2:11" x14ac:dyDescent="0.2">
      <c r="B669">
        <v>7</v>
      </c>
      <c r="C669">
        <v>1502</v>
      </c>
      <c r="D669" s="308" t="s">
        <v>1241</v>
      </c>
      <c r="E669" s="291">
        <v>5389</v>
      </c>
      <c r="F669" s="291">
        <v>2010</v>
      </c>
      <c r="G669" s="291">
        <v>978</v>
      </c>
      <c r="H669" s="287">
        <v>0.372982000371126</v>
      </c>
      <c r="I669" s="211">
        <v>7.5654396728016398</v>
      </c>
      <c r="J669" s="211">
        <v>5.8851298861913003E-2</v>
      </c>
      <c r="K669" s="288">
        <v>317.14964956684901</v>
      </c>
    </row>
    <row r="670" spans="2:11" x14ac:dyDescent="0.2">
      <c r="B670">
        <v>7</v>
      </c>
      <c r="C670">
        <v>1503</v>
      </c>
      <c r="D670" s="308" t="s">
        <v>1242</v>
      </c>
      <c r="E670" s="291">
        <v>1832</v>
      </c>
      <c r="F670" s="291">
        <v>821</v>
      </c>
      <c r="G670" s="291">
        <v>1497</v>
      </c>
      <c r="H670" s="287">
        <v>0.44814410480349298</v>
      </c>
      <c r="I670" s="211">
        <v>1.7722110888443601</v>
      </c>
      <c r="J670" s="211">
        <v>-0.195288728228666</v>
      </c>
      <c r="K670" s="288">
        <v>-357.76895011491598</v>
      </c>
    </row>
    <row r="671" spans="2:11" x14ac:dyDescent="0.2">
      <c r="B671">
        <v>7</v>
      </c>
      <c r="C671">
        <v>1504</v>
      </c>
      <c r="D671" s="308" t="s">
        <v>1243</v>
      </c>
      <c r="E671" s="291">
        <v>1384</v>
      </c>
      <c r="F671" s="291">
        <v>383</v>
      </c>
      <c r="G671" s="291">
        <v>2166</v>
      </c>
      <c r="H671" s="287">
        <v>0.27673410404624299</v>
      </c>
      <c r="I671" s="211">
        <v>0.81578947368421095</v>
      </c>
      <c r="J671" s="211">
        <v>-0.45970693644221799</v>
      </c>
      <c r="K671" s="288">
        <v>-636.23440003603002</v>
      </c>
    </row>
    <row r="672" spans="2:11" x14ac:dyDescent="0.2">
      <c r="B672">
        <v>7</v>
      </c>
      <c r="C672">
        <v>1505</v>
      </c>
      <c r="D672" s="308" t="s">
        <v>1244</v>
      </c>
      <c r="E672" s="291">
        <v>4567</v>
      </c>
      <c r="F672" s="291">
        <v>1466</v>
      </c>
      <c r="G672" s="291">
        <v>931</v>
      </c>
      <c r="H672" s="287">
        <v>0.32099846726516301</v>
      </c>
      <c r="I672" s="211">
        <v>6.4801288936627301</v>
      </c>
      <c r="J672" s="211">
        <v>-7.6570801288262894E-2</v>
      </c>
      <c r="K672" s="288">
        <v>-349.69884948349699</v>
      </c>
    </row>
    <row r="673" spans="2:11" x14ac:dyDescent="0.2">
      <c r="B673">
        <v>7</v>
      </c>
      <c r="C673">
        <v>1506</v>
      </c>
      <c r="D673" s="308" t="s">
        <v>1245</v>
      </c>
      <c r="E673" s="291">
        <v>2108</v>
      </c>
      <c r="F673" s="291">
        <v>688</v>
      </c>
      <c r="G673" s="291">
        <v>1387</v>
      </c>
      <c r="H673" s="287">
        <v>0.32637571157495299</v>
      </c>
      <c r="I673" s="211">
        <v>2.0158615717375601</v>
      </c>
      <c r="J673" s="211">
        <v>-0.326744304335709</v>
      </c>
      <c r="K673" s="288">
        <v>-688.776993539675</v>
      </c>
    </row>
    <row r="674" spans="2:11" x14ac:dyDescent="0.2">
      <c r="B674">
        <v>7</v>
      </c>
      <c r="C674">
        <v>1507</v>
      </c>
      <c r="D674" s="308" t="s">
        <v>1246</v>
      </c>
      <c r="E674" s="291">
        <v>5682</v>
      </c>
      <c r="F674" s="291">
        <v>3282</v>
      </c>
      <c r="G674" s="291">
        <v>1223</v>
      </c>
      <c r="H674" s="287">
        <v>0.57761351636747604</v>
      </c>
      <c r="I674" s="211">
        <v>7.3295175797219896</v>
      </c>
      <c r="J674" s="211">
        <v>0.315011046004879</v>
      </c>
      <c r="K674" s="288">
        <v>1789.89276339972</v>
      </c>
    </row>
    <row r="675" spans="2:11" x14ac:dyDescent="0.2">
      <c r="B675">
        <v>7</v>
      </c>
      <c r="C675">
        <v>1508</v>
      </c>
      <c r="D675" s="308" t="s">
        <v>1247</v>
      </c>
      <c r="E675" s="291">
        <v>3135</v>
      </c>
      <c r="F675" s="291">
        <v>1327</v>
      </c>
      <c r="G675" s="291">
        <v>1579</v>
      </c>
      <c r="H675" s="287">
        <v>0.42328548644338099</v>
      </c>
      <c r="I675" s="211">
        <v>2.8258391386953798</v>
      </c>
      <c r="J675" s="211">
        <v>-0.13786386333221801</v>
      </c>
      <c r="K675" s="288">
        <v>-432.20321154650401</v>
      </c>
    </row>
    <row r="676" spans="2:11" x14ac:dyDescent="0.2">
      <c r="B676">
        <v>7</v>
      </c>
      <c r="C676">
        <v>1509</v>
      </c>
      <c r="D676" s="308" t="s">
        <v>1248</v>
      </c>
      <c r="E676" s="291">
        <v>8333</v>
      </c>
      <c r="F676" s="291">
        <v>9510</v>
      </c>
      <c r="G676" s="291">
        <v>1077</v>
      </c>
      <c r="H676" s="287">
        <v>1.14124564982599</v>
      </c>
      <c r="I676" s="211">
        <v>16.5673166202414</v>
      </c>
      <c r="J676" s="211">
        <v>1.4517800692209399</v>
      </c>
      <c r="K676" s="288">
        <v>12097.6833168181</v>
      </c>
    </row>
    <row r="677" spans="2:11" x14ac:dyDescent="0.2">
      <c r="B677">
        <v>7</v>
      </c>
      <c r="C677">
        <v>1510</v>
      </c>
      <c r="D677" s="308" t="s">
        <v>1249</v>
      </c>
      <c r="E677" s="291">
        <v>4423</v>
      </c>
      <c r="F677" s="291">
        <v>2098</v>
      </c>
      <c r="G677" s="291">
        <v>892</v>
      </c>
      <c r="H677" s="287">
        <v>0.47433868415102898</v>
      </c>
      <c r="I677" s="211">
        <v>7.3105381165919301</v>
      </c>
      <c r="J677" s="211">
        <v>0.13823838473480099</v>
      </c>
      <c r="K677" s="288">
        <v>611.42837568202594</v>
      </c>
    </row>
    <row r="678" spans="2:11" x14ac:dyDescent="0.2">
      <c r="B678">
        <v>7</v>
      </c>
      <c r="C678">
        <v>1511</v>
      </c>
      <c r="D678" s="308" t="s">
        <v>1250</v>
      </c>
      <c r="E678" s="291">
        <v>2136</v>
      </c>
      <c r="F678" s="291">
        <v>853</v>
      </c>
      <c r="G678" s="291">
        <v>6942</v>
      </c>
      <c r="H678" s="287">
        <v>0.39934456928839002</v>
      </c>
      <c r="I678" s="211">
        <v>0.430567559781043</v>
      </c>
      <c r="J678" s="211">
        <v>-0.29309382284138102</v>
      </c>
      <c r="K678" s="288">
        <v>-626.04840558919</v>
      </c>
    </row>
    <row r="679" spans="2:11" x14ac:dyDescent="0.2">
      <c r="B679">
        <v>8</v>
      </c>
      <c r="C679">
        <v>1630</v>
      </c>
      <c r="D679" s="308" t="s">
        <v>1251</v>
      </c>
      <c r="E679" s="291">
        <v>18057</v>
      </c>
      <c r="F679" s="291">
        <v>8587</v>
      </c>
      <c r="G679" s="291">
        <v>12311</v>
      </c>
      <c r="H679" s="287">
        <v>0.47554964833582503</v>
      </c>
      <c r="I679" s="211">
        <v>2.1642433595971098</v>
      </c>
      <c r="J679" s="211">
        <v>0.47292325899709398</v>
      </c>
      <c r="K679" s="288">
        <v>8539.5752877105297</v>
      </c>
    </row>
    <row r="680" spans="2:11" x14ac:dyDescent="0.2">
      <c r="B680">
        <v>8</v>
      </c>
      <c r="C680">
        <v>1631</v>
      </c>
      <c r="D680" s="308" t="s">
        <v>1252</v>
      </c>
      <c r="E680" s="291">
        <v>9575</v>
      </c>
      <c r="F680" s="291">
        <v>5051</v>
      </c>
      <c r="G680" s="291">
        <v>24692</v>
      </c>
      <c r="H680" s="287">
        <v>0.52751958224543105</v>
      </c>
      <c r="I680" s="211">
        <v>0.59233759922242002</v>
      </c>
      <c r="J680" s="211">
        <v>0.15587851459000401</v>
      </c>
      <c r="K680" s="288">
        <v>1492.5367771992801</v>
      </c>
    </row>
    <row r="681" spans="2:11" x14ac:dyDescent="0.2">
      <c r="B681">
        <v>8</v>
      </c>
      <c r="C681">
        <v>1632</v>
      </c>
      <c r="D681" s="308" t="s">
        <v>1253</v>
      </c>
      <c r="E681" s="291">
        <v>12515</v>
      </c>
      <c r="F681" s="291">
        <v>8311</v>
      </c>
      <c r="G681" s="291">
        <v>6712</v>
      </c>
      <c r="H681" s="287">
        <v>0.664083100279664</v>
      </c>
      <c r="I681" s="211">
        <v>3.1028009535160899</v>
      </c>
      <c r="J681" s="211">
        <v>0.52903373925088903</v>
      </c>
      <c r="K681" s="288">
        <v>6620.8572467248796</v>
      </c>
    </row>
    <row r="682" spans="2:11" x14ac:dyDescent="0.2">
      <c r="B682">
        <v>9</v>
      </c>
      <c r="C682">
        <v>1701</v>
      </c>
      <c r="D682" s="308" t="s">
        <v>1254</v>
      </c>
      <c r="E682" s="291">
        <v>24129</v>
      </c>
      <c r="F682" s="291">
        <v>23326</v>
      </c>
      <c r="G682" s="291">
        <v>2459</v>
      </c>
      <c r="H682" s="287">
        <v>0.96672054374404204</v>
      </c>
      <c r="I682" s="211">
        <v>19.298495323302198</v>
      </c>
      <c r="J682" s="211">
        <v>1.9387192082428</v>
      </c>
      <c r="K682" s="288">
        <v>46779.355775690499</v>
      </c>
    </row>
    <row r="683" spans="2:11" x14ac:dyDescent="0.2">
      <c r="B683">
        <v>9</v>
      </c>
      <c r="C683">
        <v>1702</v>
      </c>
      <c r="D683" s="308" t="s">
        <v>1255</v>
      </c>
      <c r="E683" s="291">
        <v>16216</v>
      </c>
      <c r="F683" s="291">
        <v>9868</v>
      </c>
      <c r="G683" s="291">
        <v>1740</v>
      </c>
      <c r="H683" s="287">
        <v>0.60853478046373999</v>
      </c>
      <c r="I683" s="211">
        <v>14.9908045977011</v>
      </c>
      <c r="J683" s="211">
        <v>1.0353497427587799</v>
      </c>
      <c r="K683" s="288">
        <v>16789.231428576401</v>
      </c>
    </row>
    <row r="684" spans="2:11" x14ac:dyDescent="0.2">
      <c r="B684">
        <v>9</v>
      </c>
      <c r="C684">
        <v>1703</v>
      </c>
      <c r="D684" s="308" t="s">
        <v>1256</v>
      </c>
      <c r="E684" s="291">
        <v>8827</v>
      </c>
      <c r="F684" s="291">
        <v>6972</v>
      </c>
      <c r="G684" s="291">
        <v>1676</v>
      </c>
      <c r="H684" s="287">
        <v>0.78984932593180002</v>
      </c>
      <c r="I684" s="211">
        <v>9.4266109785202907</v>
      </c>
      <c r="J684" s="211">
        <v>0.77468771531430802</v>
      </c>
      <c r="K684" s="288">
        <v>6838.1684630793998</v>
      </c>
    </row>
    <row r="685" spans="2:11" x14ac:dyDescent="0.2">
      <c r="B685">
        <v>9</v>
      </c>
      <c r="C685">
        <v>1704</v>
      </c>
      <c r="D685" s="308" t="s">
        <v>1257</v>
      </c>
      <c r="E685" s="291">
        <v>4467</v>
      </c>
      <c r="F685" s="291">
        <v>1745</v>
      </c>
      <c r="G685" s="291">
        <v>2705</v>
      </c>
      <c r="H685" s="287">
        <v>0.39064248936646501</v>
      </c>
      <c r="I685" s="211">
        <v>2.2964879852125701</v>
      </c>
      <c r="J685" s="211">
        <v>-0.146732366705734</v>
      </c>
      <c r="K685" s="288">
        <v>-655.45348207451195</v>
      </c>
    </row>
    <row r="686" spans="2:11" x14ac:dyDescent="0.2">
      <c r="B686">
        <v>9</v>
      </c>
      <c r="C686">
        <v>1705</v>
      </c>
      <c r="D686" s="308" t="s">
        <v>1258</v>
      </c>
      <c r="E686" s="291">
        <v>2219</v>
      </c>
      <c r="F686" s="291">
        <v>951</v>
      </c>
      <c r="G686" s="291">
        <v>782</v>
      </c>
      <c r="H686" s="287">
        <v>0.42857142857142899</v>
      </c>
      <c r="I686" s="211">
        <v>4.0537084398976999</v>
      </c>
      <c r="J686" s="211">
        <v>-0.12151452493666901</v>
      </c>
      <c r="K686" s="288">
        <v>-269.64073083446903</v>
      </c>
    </row>
    <row r="687" spans="2:11" x14ac:dyDescent="0.2">
      <c r="B687">
        <v>9</v>
      </c>
      <c r="C687">
        <v>1706</v>
      </c>
      <c r="D687" s="308" t="s">
        <v>1259</v>
      </c>
      <c r="E687" s="291">
        <v>5994</v>
      </c>
      <c r="F687" s="291">
        <v>1891</v>
      </c>
      <c r="G687" s="291">
        <v>2945</v>
      </c>
      <c r="H687" s="287">
        <v>0.31548214881548198</v>
      </c>
      <c r="I687" s="211">
        <v>2.67741935483871</v>
      </c>
      <c r="J687" s="211">
        <v>-0.16762414731661399</v>
      </c>
      <c r="K687" s="288">
        <v>-1004.73913901578</v>
      </c>
    </row>
    <row r="688" spans="2:11" x14ac:dyDescent="0.2">
      <c r="B688">
        <v>9</v>
      </c>
      <c r="C688">
        <v>1707</v>
      </c>
      <c r="D688" s="308" t="s">
        <v>1260</v>
      </c>
      <c r="E688" s="291">
        <v>10355</v>
      </c>
      <c r="F688" s="291">
        <v>10664</v>
      </c>
      <c r="G688" s="291">
        <v>1454</v>
      </c>
      <c r="H688" s="287">
        <v>1.02984065668759</v>
      </c>
      <c r="I688" s="211">
        <v>14.4559834938102</v>
      </c>
      <c r="J688" s="211">
        <v>1.3139581222774299</v>
      </c>
      <c r="K688" s="288">
        <v>13606.0363561828</v>
      </c>
    </row>
    <row r="689" spans="2:11" x14ac:dyDescent="0.2">
      <c r="B689">
        <v>9</v>
      </c>
      <c r="C689">
        <v>1708</v>
      </c>
      <c r="D689" s="308" t="s">
        <v>1261</v>
      </c>
      <c r="E689" s="291">
        <v>9735</v>
      </c>
      <c r="F689" s="291">
        <v>8461</v>
      </c>
      <c r="G689" s="291">
        <v>500</v>
      </c>
      <c r="H689" s="287">
        <v>0.86913199794555696</v>
      </c>
      <c r="I689" s="211">
        <v>36.392000000000003</v>
      </c>
      <c r="J689" s="211">
        <v>1.8914638896617599</v>
      </c>
      <c r="K689" s="288">
        <v>18413.400965857301</v>
      </c>
    </row>
    <row r="690" spans="2:11" x14ac:dyDescent="0.2">
      <c r="B690">
        <v>9</v>
      </c>
      <c r="C690">
        <v>1709</v>
      </c>
      <c r="D690" s="308" t="s">
        <v>1262</v>
      </c>
      <c r="E690" s="291">
        <v>8576</v>
      </c>
      <c r="F690" s="291">
        <v>3218</v>
      </c>
      <c r="G690" s="291">
        <v>2520</v>
      </c>
      <c r="H690" s="287">
        <v>0.375233208955224</v>
      </c>
      <c r="I690" s="211">
        <v>4.6801587301587304</v>
      </c>
      <c r="J690" s="211">
        <v>7.8144430072170104E-2</v>
      </c>
      <c r="K690" s="288">
        <v>670.16663229893004</v>
      </c>
    </row>
    <row r="691" spans="2:11" x14ac:dyDescent="0.2">
      <c r="B691">
        <v>9</v>
      </c>
      <c r="C691">
        <v>1710</v>
      </c>
      <c r="D691" s="308" t="s">
        <v>1263</v>
      </c>
      <c r="E691" s="291">
        <v>3626</v>
      </c>
      <c r="F691" s="291">
        <v>1132</v>
      </c>
      <c r="G691" s="291">
        <v>1295</v>
      </c>
      <c r="H691" s="287">
        <v>0.31218974076116901</v>
      </c>
      <c r="I691" s="211">
        <v>3.6741312741312702</v>
      </c>
      <c r="J691" s="211">
        <v>-0.225818766976534</v>
      </c>
      <c r="K691" s="288">
        <v>-818.818849056913</v>
      </c>
    </row>
    <row r="692" spans="2:11" x14ac:dyDescent="0.2">
      <c r="B692">
        <v>9</v>
      </c>
      <c r="C692">
        <v>1711</v>
      </c>
      <c r="D692" s="308" t="s">
        <v>1264</v>
      </c>
      <c r="E692" s="291">
        <v>29804</v>
      </c>
      <c r="F692" s="291">
        <v>40776</v>
      </c>
      <c r="G692" s="291">
        <v>2115</v>
      </c>
      <c r="H692" s="287">
        <v>1.3681385048986701</v>
      </c>
      <c r="I692" s="211">
        <v>33.371158392434999</v>
      </c>
      <c r="J692" s="211">
        <v>3.1664246829737701</v>
      </c>
      <c r="K692" s="288">
        <v>94372.121251350298</v>
      </c>
    </row>
    <row r="693" spans="2:11" x14ac:dyDescent="0.2">
      <c r="B693">
        <v>10</v>
      </c>
      <c r="C693">
        <v>2008</v>
      </c>
      <c r="D693" s="308" t="s">
        <v>1265</v>
      </c>
      <c r="E693" s="291">
        <v>459</v>
      </c>
      <c r="F693" s="291">
        <v>32</v>
      </c>
      <c r="G693" s="291">
        <v>129</v>
      </c>
      <c r="H693" s="287">
        <v>6.9716775599128505E-2</v>
      </c>
      <c r="I693" s="211">
        <v>3.8062015503876001</v>
      </c>
      <c r="J693" s="211">
        <v>-0.64247335138531902</v>
      </c>
      <c r="K693" s="288">
        <v>-294.89526828586202</v>
      </c>
    </row>
    <row r="694" spans="2:11" x14ac:dyDescent="0.2">
      <c r="B694">
        <v>10</v>
      </c>
      <c r="C694">
        <v>2009</v>
      </c>
      <c r="D694" s="308" t="s">
        <v>1266</v>
      </c>
      <c r="E694" s="291">
        <v>388</v>
      </c>
      <c r="F694" s="291">
        <v>89</v>
      </c>
      <c r="G694" s="291">
        <v>641</v>
      </c>
      <c r="H694" s="287">
        <v>0.22938144329896901</v>
      </c>
      <c r="I694" s="211">
        <v>0.74414976599063998</v>
      </c>
      <c r="J694" s="211">
        <v>-0.55905507700379298</v>
      </c>
      <c r="K694" s="288">
        <v>-216.91336987747201</v>
      </c>
    </row>
    <row r="695" spans="2:11" x14ac:dyDescent="0.2">
      <c r="B695">
        <v>10</v>
      </c>
      <c r="C695">
        <v>2011</v>
      </c>
      <c r="D695" s="308" t="s">
        <v>1267</v>
      </c>
      <c r="E695" s="291">
        <v>1690</v>
      </c>
      <c r="F695" s="291">
        <v>387</v>
      </c>
      <c r="G695" s="291">
        <v>986</v>
      </c>
      <c r="H695" s="287">
        <v>0.22899408284023701</v>
      </c>
      <c r="I695" s="211">
        <v>2.1064908722109501</v>
      </c>
      <c r="J695" s="211">
        <v>-0.46008105712982</v>
      </c>
      <c r="K695" s="288">
        <v>-777.53698654939501</v>
      </c>
    </row>
    <row r="696" spans="2:11" x14ac:dyDescent="0.2">
      <c r="B696">
        <v>10</v>
      </c>
      <c r="C696">
        <v>2016</v>
      </c>
      <c r="D696" s="308" t="s">
        <v>1268</v>
      </c>
      <c r="E696" s="291">
        <v>978</v>
      </c>
      <c r="F696" s="291">
        <v>307</v>
      </c>
      <c r="G696" s="291">
        <v>401</v>
      </c>
      <c r="H696" s="287">
        <v>0.31390593047034798</v>
      </c>
      <c r="I696" s="211">
        <v>3.2044887780548601</v>
      </c>
      <c r="J696" s="211">
        <v>-0.34200580393723701</v>
      </c>
      <c r="K696" s="288">
        <v>-334.481676250617</v>
      </c>
    </row>
    <row r="697" spans="2:11" x14ac:dyDescent="0.2">
      <c r="B697">
        <v>10</v>
      </c>
      <c r="C697">
        <v>2022</v>
      </c>
      <c r="D697" s="308" t="s">
        <v>1269</v>
      </c>
      <c r="E697" s="291">
        <v>1033</v>
      </c>
      <c r="F697" s="291">
        <v>214</v>
      </c>
      <c r="G697" s="291">
        <v>257</v>
      </c>
      <c r="H697" s="287">
        <v>0.20716360116166499</v>
      </c>
      <c r="I697" s="211">
        <v>4.8521400778210104</v>
      </c>
      <c r="J697" s="211">
        <v>-0.412060656256866</v>
      </c>
      <c r="K697" s="288">
        <v>-425.65865791334301</v>
      </c>
    </row>
    <row r="698" spans="2:11" x14ac:dyDescent="0.2">
      <c r="B698">
        <v>10</v>
      </c>
      <c r="C698">
        <v>2025</v>
      </c>
      <c r="D698" s="308" t="s">
        <v>1270</v>
      </c>
      <c r="E698" s="291">
        <v>1163</v>
      </c>
      <c r="F698" s="291">
        <v>316</v>
      </c>
      <c r="G698" s="291">
        <v>543</v>
      </c>
      <c r="H698" s="287">
        <v>0.27171109200343901</v>
      </c>
      <c r="I698" s="211">
        <v>2.7237569060773499</v>
      </c>
      <c r="J698" s="211">
        <v>-0.40476298381016401</v>
      </c>
      <c r="K698" s="288">
        <v>-470.73935017122</v>
      </c>
    </row>
    <row r="699" spans="2:11" x14ac:dyDescent="0.2">
      <c r="B699">
        <v>10</v>
      </c>
      <c r="C699">
        <v>2027</v>
      </c>
      <c r="D699" s="308" t="s">
        <v>1271</v>
      </c>
      <c r="E699" s="291">
        <v>410</v>
      </c>
      <c r="F699" s="291">
        <v>113</v>
      </c>
      <c r="G699" s="291">
        <v>435</v>
      </c>
      <c r="H699" s="287">
        <v>0.275609756097561</v>
      </c>
      <c r="I699" s="211">
        <v>1.2022988505747101</v>
      </c>
      <c r="J699" s="211">
        <v>-0.48421433777134398</v>
      </c>
      <c r="K699" s="288">
        <v>-198.52787848625101</v>
      </c>
    </row>
    <row r="700" spans="2:11" x14ac:dyDescent="0.2">
      <c r="B700">
        <v>10</v>
      </c>
      <c r="C700">
        <v>2029</v>
      </c>
      <c r="D700" s="308" t="s">
        <v>1272</v>
      </c>
      <c r="E700" s="291">
        <v>2404</v>
      </c>
      <c r="F700" s="291">
        <v>478</v>
      </c>
      <c r="G700" s="291">
        <v>1738</v>
      </c>
      <c r="H700" s="287">
        <v>0.198835274542429</v>
      </c>
      <c r="I700" s="211">
        <v>1.65822784810127</v>
      </c>
      <c r="J700" s="211">
        <v>-0.48652617800264802</v>
      </c>
      <c r="K700" s="288">
        <v>-1169.60893191837</v>
      </c>
    </row>
    <row r="701" spans="2:11" x14ac:dyDescent="0.2">
      <c r="B701">
        <v>10</v>
      </c>
      <c r="C701">
        <v>2035</v>
      </c>
      <c r="D701" s="308" t="s">
        <v>1273</v>
      </c>
      <c r="E701" s="291">
        <v>407</v>
      </c>
      <c r="F701" s="291">
        <v>209</v>
      </c>
      <c r="G701" s="291">
        <v>395</v>
      </c>
      <c r="H701" s="287">
        <v>0.51351351351351304</v>
      </c>
      <c r="I701" s="211">
        <v>1.55949367088608</v>
      </c>
      <c r="J701" s="211">
        <v>-0.176494833035056</v>
      </c>
      <c r="K701" s="288">
        <v>-71.833397045267802</v>
      </c>
    </row>
    <row r="702" spans="2:11" x14ac:dyDescent="0.2">
      <c r="B702">
        <v>10</v>
      </c>
      <c r="C702">
        <v>2038</v>
      </c>
      <c r="D702" s="308" t="s">
        <v>1274</v>
      </c>
      <c r="E702" s="291">
        <v>69</v>
      </c>
      <c r="F702" s="291">
        <v>14</v>
      </c>
      <c r="G702" s="291">
        <v>183</v>
      </c>
      <c r="H702" s="287">
        <v>0.202898550724638</v>
      </c>
      <c r="I702" s="211">
        <v>0.45355191256830601</v>
      </c>
      <c r="J702" s="211">
        <v>-0.61466307090620198</v>
      </c>
      <c r="K702" s="288">
        <v>-42.411751892527903</v>
      </c>
    </row>
    <row r="703" spans="2:11" x14ac:dyDescent="0.2">
      <c r="B703">
        <v>10</v>
      </c>
      <c r="C703">
        <v>2041</v>
      </c>
      <c r="D703" s="308" t="s">
        <v>1275</v>
      </c>
      <c r="E703" s="291">
        <v>1706</v>
      </c>
      <c r="F703" s="291">
        <v>404</v>
      </c>
      <c r="G703" s="291">
        <v>776</v>
      </c>
      <c r="H703" s="287">
        <v>0.236811254396249</v>
      </c>
      <c r="I703" s="211">
        <v>2.7190721649484502</v>
      </c>
      <c r="J703" s="211">
        <v>-0.42743279317759297</v>
      </c>
      <c r="K703" s="288">
        <v>-729.20034516097405</v>
      </c>
    </row>
    <row r="704" spans="2:11" x14ac:dyDescent="0.2">
      <c r="B704">
        <v>10</v>
      </c>
      <c r="C704">
        <v>2043</v>
      </c>
      <c r="D704" s="308" t="s">
        <v>1276</v>
      </c>
      <c r="E704" s="291">
        <v>278</v>
      </c>
      <c r="F704" s="291">
        <v>341</v>
      </c>
      <c r="G704" s="291">
        <v>245</v>
      </c>
      <c r="H704" s="287">
        <v>1.22661870503597</v>
      </c>
      <c r="I704" s="211">
        <v>2.5265306122448998</v>
      </c>
      <c r="J704" s="211">
        <v>0.73751307370202701</v>
      </c>
      <c r="K704" s="288">
        <v>205.02863448916301</v>
      </c>
    </row>
    <row r="705" spans="2:11" x14ac:dyDescent="0.2">
      <c r="B705">
        <v>10</v>
      </c>
      <c r="C705">
        <v>2044</v>
      </c>
      <c r="D705" s="308" t="s">
        <v>1277</v>
      </c>
      <c r="E705" s="291">
        <v>712</v>
      </c>
      <c r="F705" s="291">
        <v>133</v>
      </c>
      <c r="G705" s="291">
        <v>825</v>
      </c>
      <c r="H705" s="287">
        <v>0.186797752808989</v>
      </c>
      <c r="I705" s="211">
        <v>1.02424242424242</v>
      </c>
      <c r="J705" s="211">
        <v>-0.58922415357419999</v>
      </c>
      <c r="K705" s="288">
        <v>-419.52759734483101</v>
      </c>
    </row>
    <row r="706" spans="2:11" x14ac:dyDescent="0.2">
      <c r="B706">
        <v>10</v>
      </c>
      <c r="C706">
        <v>2045</v>
      </c>
      <c r="D706" s="308" t="s">
        <v>1278</v>
      </c>
      <c r="E706" s="291">
        <v>412</v>
      </c>
      <c r="F706" s="291">
        <v>64</v>
      </c>
      <c r="G706" s="291">
        <v>348</v>
      </c>
      <c r="H706" s="287">
        <v>0.15533980582524301</v>
      </c>
      <c r="I706" s="211">
        <v>1.3678160919540201</v>
      </c>
      <c r="J706" s="211">
        <v>-0.62713319902112896</v>
      </c>
      <c r="K706" s="288">
        <v>-258.378877996705</v>
      </c>
    </row>
    <row r="707" spans="2:11" x14ac:dyDescent="0.2">
      <c r="B707">
        <v>10</v>
      </c>
      <c r="C707">
        <v>2050</v>
      </c>
      <c r="D707" s="308" t="s">
        <v>1279</v>
      </c>
      <c r="E707" s="291">
        <v>1423</v>
      </c>
      <c r="F707" s="291">
        <v>306</v>
      </c>
      <c r="G707" s="291">
        <v>1030</v>
      </c>
      <c r="H707" s="287">
        <v>0.21503865073787801</v>
      </c>
      <c r="I707" s="211">
        <v>1.6786407766990299</v>
      </c>
      <c r="J707" s="211">
        <v>-0.50318625483581603</v>
      </c>
      <c r="K707" s="288">
        <v>-716.03404063136702</v>
      </c>
    </row>
    <row r="708" spans="2:11" x14ac:dyDescent="0.2">
      <c r="B708">
        <v>10</v>
      </c>
      <c r="C708">
        <v>2051</v>
      </c>
      <c r="D708" s="308" t="s">
        <v>1280</v>
      </c>
      <c r="E708" s="291">
        <v>1086</v>
      </c>
      <c r="F708" s="291">
        <v>209</v>
      </c>
      <c r="G708" s="291">
        <v>646</v>
      </c>
      <c r="H708" s="287">
        <v>0.19244935543278099</v>
      </c>
      <c r="I708" s="211">
        <v>2.0046439628482999</v>
      </c>
      <c r="J708" s="211">
        <v>-0.53216039805608095</v>
      </c>
      <c r="K708" s="288">
        <v>-577.92619228890396</v>
      </c>
    </row>
    <row r="709" spans="2:11" x14ac:dyDescent="0.2">
      <c r="B709">
        <v>10</v>
      </c>
      <c r="C709">
        <v>2053</v>
      </c>
      <c r="D709" s="308" t="s">
        <v>1281</v>
      </c>
      <c r="E709" s="291">
        <v>5402</v>
      </c>
      <c r="F709" s="291">
        <v>2549</v>
      </c>
      <c r="G709" s="291">
        <v>2563</v>
      </c>
      <c r="H709" s="287">
        <v>0.47186227323213598</v>
      </c>
      <c r="I709" s="211">
        <v>3.1022239563012102</v>
      </c>
      <c r="J709" s="211">
        <v>1.90355732625778E-2</v>
      </c>
      <c r="K709" s="288">
        <v>102.830166764445</v>
      </c>
    </row>
    <row r="710" spans="2:11" x14ac:dyDescent="0.2">
      <c r="B710">
        <v>10</v>
      </c>
      <c r="C710">
        <v>2054</v>
      </c>
      <c r="D710" s="308" t="s">
        <v>1282</v>
      </c>
      <c r="E710" s="291">
        <v>9434</v>
      </c>
      <c r="F710" s="291">
        <v>4452</v>
      </c>
      <c r="G710" s="291">
        <v>3971</v>
      </c>
      <c r="H710" s="287">
        <v>0.47191011235955099</v>
      </c>
      <c r="I710" s="211">
        <v>3.4968521782926199</v>
      </c>
      <c r="J710" s="211">
        <v>0.18755352617867799</v>
      </c>
      <c r="K710" s="288">
        <v>1769.3799659696499</v>
      </c>
    </row>
    <row r="711" spans="2:11" x14ac:dyDescent="0.2">
      <c r="B711">
        <v>10</v>
      </c>
      <c r="C711">
        <v>2055</v>
      </c>
      <c r="D711" s="308" t="s">
        <v>1283</v>
      </c>
      <c r="E711" s="291">
        <v>2222</v>
      </c>
      <c r="F711" s="291">
        <v>317</v>
      </c>
      <c r="G711" s="291">
        <v>893</v>
      </c>
      <c r="H711" s="287">
        <v>0.14266426642664301</v>
      </c>
      <c r="I711" s="211">
        <v>2.8432250839865598</v>
      </c>
      <c r="J711" s="211">
        <v>-0.51985053451000995</v>
      </c>
      <c r="K711" s="288">
        <v>-1155.1078876812401</v>
      </c>
    </row>
    <row r="712" spans="2:11" x14ac:dyDescent="0.2">
      <c r="B712">
        <v>10</v>
      </c>
      <c r="C712">
        <v>2061</v>
      </c>
      <c r="D712" s="308" t="s">
        <v>1284</v>
      </c>
      <c r="E712" s="291">
        <v>282</v>
      </c>
      <c r="F712" s="291">
        <v>55</v>
      </c>
      <c r="G712" s="291">
        <v>193</v>
      </c>
      <c r="H712" s="287">
        <v>0.195035460992908</v>
      </c>
      <c r="I712" s="211">
        <v>1.7461139896373099</v>
      </c>
      <c r="J712" s="211">
        <v>-0.56910872116553901</v>
      </c>
      <c r="K712" s="288">
        <v>-160.48865936868199</v>
      </c>
    </row>
    <row r="713" spans="2:11" x14ac:dyDescent="0.2">
      <c r="B713">
        <v>10</v>
      </c>
      <c r="C713">
        <v>2063</v>
      </c>
      <c r="D713" s="308" t="s">
        <v>1285</v>
      </c>
      <c r="E713" s="291">
        <v>729</v>
      </c>
      <c r="F713" s="291">
        <v>366</v>
      </c>
      <c r="G713" s="291">
        <v>490</v>
      </c>
      <c r="H713" s="287">
        <v>0.50205761316872399</v>
      </c>
      <c r="I713" s="211">
        <v>2.2346938775510199</v>
      </c>
      <c r="J713" s="211">
        <v>-0.15375230727959799</v>
      </c>
      <c r="K713" s="288">
        <v>-112.08543200682701</v>
      </c>
    </row>
    <row r="714" spans="2:11" x14ac:dyDescent="0.2">
      <c r="B714">
        <v>10</v>
      </c>
      <c r="C714">
        <v>2066</v>
      </c>
      <c r="D714" s="308" t="s">
        <v>1286</v>
      </c>
      <c r="E714" s="291">
        <v>277</v>
      </c>
      <c r="F714" s="291">
        <v>34</v>
      </c>
      <c r="G714" s="291">
        <v>199</v>
      </c>
      <c r="H714" s="287">
        <v>0.122743682310469</v>
      </c>
      <c r="I714" s="211">
        <v>1.5628140703517599</v>
      </c>
      <c r="J714" s="211">
        <v>-0.66556888395227898</v>
      </c>
      <c r="K714" s="288">
        <v>-184.36258085478099</v>
      </c>
    </row>
    <row r="715" spans="2:11" x14ac:dyDescent="0.2">
      <c r="B715">
        <v>10</v>
      </c>
      <c r="C715">
        <v>2067</v>
      </c>
      <c r="D715" s="308" t="s">
        <v>1287</v>
      </c>
      <c r="E715" s="291">
        <v>385</v>
      </c>
      <c r="F715" s="291">
        <v>105</v>
      </c>
      <c r="G715" s="291">
        <v>747</v>
      </c>
      <c r="H715" s="287">
        <v>0.27272727272727298</v>
      </c>
      <c r="I715" s="211">
        <v>0.65595716198125797</v>
      </c>
      <c r="J715" s="211">
        <v>-0.50867483276366299</v>
      </c>
      <c r="K715" s="288">
        <v>-195.83981061400999</v>
      </c>
    </row>
    <row r="716" spans="2:11" x14ac:dyDescent="0.2">
      <c r="B716">
        <v>10</v>
      </c>
      <c r="C716">
        <v>2068</v>
      </c>
      <c r="D716" s="308" t="s">
        <v>1288</v>
      </c>
      <c r="E716" s="291">
        <v>823</v>
      </c>
      <c r="F716" s="291">
        <v>146</v>
      </c>
      <c r="G716" s="291">
        <v>632</v>
      </c>
      <c r="H716" s="287">
        <v>0.17739975698663399</v>
      </c>
      <c r="I716" s="211">
        <v>1.53322784810127</v>
      </c>
      <c r="J716" s="211">
        <v>-0.57805812470874895</v>
      </c>
      <c r="K716" s="288">
        <v>-475.74183663530101</v>
      </c>
    </row>
    <row r="717" spans="2:11" x14ac:dyDescent="0.2">
      <c r="B717">
        <v>10</v>
      </c>
      <c r="C717">
        <v>2072</v>
      </c>
      <c r="D717" s="308" t="s">
        <v>1289</v>
      </c>
      <c r="E717" s="291">
        <v>332</v>
      </c>
      <c r="F717" s="291">
        <v>72</v>
      </c>
      <c r="G717" s="291">
        <v>476</v>
      </c>
      <c r="H717" s="287">
        <v>0.21686746987951799</v>
      </c>
      <c r="I717" s="211">
        <v>0.84873949579831898</v>
      </c>
      <c r="J717" s="211">
        <v>-0.57288569684436796</v>
      </c>
      <c r="K717" s="288">
        <v>-190.19805135233</v>
      </c>
    </row>
    <row r="718" spans="2:11" x14ac:dyDescent="0.2">
      <c r="B718">
        <v>10</v>
      </c>
      <c r="C718">
        <v>2079</v>
      </c>
      <c r="D718" s="308" t="s">
        <v>1290</v>
      </c>
      <c r="E718" s="291">
        <v>185</v>
      </c>
      <c r="F718" s="291">
        <v>51</v>
      </c>
      <c r="G718" s="291">
        <v>336</v>
      </c>
      <c r="H718" s="287">
        <v>0.27567567567567602</v>
      </c>
      <c r="I718" s="211">
        <v>0.702380952380952</v>
      </c>
      <c r="J718" s="211">
        <v>-0.51096938994978502</v>
      </c>
      <c r="K718" s="288">
        <v>-94.529337140710297</v>
      </c>
    </row>
    <row r="719" spans="2:11" x14ac:dyDescent="0.2">
      <c r="B719">
        <v>10</v>
      </c>
      <c r="C719">
        <v>2086</v>
      </c>
      <c r="D719" s="308" t="s">
        <v>1291</v>
      </c>
      <c r="E719" s="291">
        <v>510</v>
      </c>
      <c r="F719" s="291">
        <v>88</v>
      </c>
      <c r="G719" s="291">
        <v>428</v>
      </c>
      <c r="H719" s="287">
        <v>0.172549019607843</v>
      </c>
      <c r="I719" s="211">
        <v>1.39719626168224</v>
      </c>
      <c r="J719" s="211">
        <v>-0.60099168875925801</v>
      </c>
      <c r="K719" s="288">
        <v>-306.505761267222</v>
      </c>
    </row>
    <row r="720" spans="2:11" x14ac:dyDescent="0.2">
      <c r="B720">
        <v>10</v>
      </c>
      <c r="C720">
        <v>2087</v>
      </c>
      <c r="D720" s="308" t="s">
        <v>1292</v>
      </c>
      <c r="E720" s="291">
        <v>998</v>
      </c>
      <c r="F720" s="291">
        <v>251</v>
      </c>
      <c r="G720" s="291">
        <v>893</v>
      </c>
      <c r="H720" s="287">
        <v>0.25150300601202402</v>
      </c>
      <c r="I720" s="211">
        <v>1.3986562150055999</v>
      </c>
      <c r="J720" s="211">
        <v>-0.48445525157510599</v>
      </c>
      <c r="K720" s="288">
        <v>-483.486341071955</v>
      </c>
    </row>
    <row r="721" spans="2:11" x14ac:dyDescent="0.2">
      <c r="B721">
        <v>10</v>
      </c>
      <c r="C721">
        <v>2089</v>
      </c>
      <c r="D721" s="308" t="s">
        <v>1293</v>
      </c>
      <c r="E721" s="291">
        <v>389</v>
      </c>
      <c r="F721" s="291">
        <v>33</v>
      </c>
      <c r="G721" s="291">
        <v>218</v>
      </c>
      <c r="H721" s="287">
        <v>8.4832904884318799E-2</v>
      </c>
      <c r="I721" s="211">
        <v>1.9357798165137601</v>
      </c>
      <c r="J721" s="211">
        <v>-0.69465936811745199</v>
      </c>
      <c r="K721" s="288">
        <v>-270.222494197689</v>
      </c>
    </row>
    <row r="722" spans="2:11" x14ac:dyDescent="0.2">
      <c r="B722">
        <v>10</v>
      </c>
      <c r="C722">
        <v>2096</v>
      </c>
      <c r="D722" s="308" t="s">
        <v>1294</v>
      </c>
      <c r="E722" s="291">
        <v>5204</v>
      </c>
      <c r="F722" s="291">
        <v>3742</v>
      </c>
      <c r="G722" s="291">
        <v>1083</v>
      </c>
      <c r="H722" s="287">
        <v>0.71906225980015404</v>
      </c>
      <c r="I722" s="211">
        <v>8.2603878116343505</v>
      </c>
      <c r="J722" s="211">
        <v>0.50598812208371602</v>
      </c>
      <c r="K722" s="288">
        <v>2633.16218732366</v>
      </c>
    </row>
    <row r="723" spans="2:11" x14ac:dyDescent="0.2">
      <c r="B723">
        <v>10</v>
      </c>
      <c r="C723">
        <v>2097</v>
      </c>
      <c r="D723" s="308" t="s">
        <v>1295</v>
      </c>
      <c r="E723" s="291">
        <v>1500</v>
      </c>
      <c r="F723" s="291">
        <v>265</v>
      </c>
      <c r="G723" s="291">
        <v>1117</v>
      </c>
      <c r="H723" s="287">
        <v>0.176666666666667</v>
      </c>
      <c r="I723" s="211">
        <v>1.5801253357206799</v>
      </c>
      <c r="J723" s="211">
        <v>-0.55138766867564504</v>
      </c>
      <c r="K723" s="288">
        <v>-827.081503013467</v>
      </c>
    </row>
    <row r="724" spans="2:11" x14ac:dyDescent="0.2">
      <c r="B724">
        <v>10</v>
      </c>
      <c r="C724">
        <v>2099</v>
      </c>
      <c r="D724" s="308" t="s">
        <v>1296</v>
      </c>
      <c r="E724" s="291">
        <v>2214</v>
      </c>
      <c r="F724" s="291">
        <v>574</v>
      </c>
      <c r="G724" s="291">
        <v>2017</v>
      </c>
      <c r="H724" s="287">
        <v>0.25925925925925902</v>
      </c>
      <c r="I724" s="211">
        <v>1.3822508676251899</v>
      </c>
      <c r="J724" s="211">
        <v>-0.42897981816064601</v>
      </c>
      <c r="K724" s="288">
        <v>-949.76131740767005</v>
      </c>
    </row>
    <row r="725" spans="2:11" x14ac:dyDescent="0.2">
      <c r="B725">
        <v>10</v>
      </c>
      <c r="C725">
        <v>2102</v>
      </c>
      <c r="D725" s="308" t="s">
        <v>1297</v>
      </c>
      <c r="E725" s="291">
        <v>3030</v>
      </c>
      <c r="F725" s="291">
        <v>996</v>
      </c>
      <c r="G725" s="291">
        <v>1482</v>
      </c>
      <c r="H725" s="287">
        <v>0.328712871287129</v>
      </c>
      <c r="I725" s="211">
        <v>2.7165991902834001</v>
      </c>
      <c r="J725" s="211">
        <v>-0.263052493658882</v>
      </c>
      <c r="K725" s="288">
        <v>-797.04905578641205</v>
      </c>
    </row>
    <row r="726" spans="2:11" x14ac:dyDescent="0.2">
      <c r="B726">
        <v>10</v>
      </c>
      <c r="C726">
        <v>2111</v>
      </c>
      <c r="D726" s="308" t="s">
        <v>1298</v>
      </c>
      <c r="E726" s="291">
        <v>1285</v>
      </c>
      <c r="F726" s="291">
        <v>424</v>
      </c>
      <c r="G726" s="291">
        <v>550</v>
      </c>
      <c r="H726" s="287">
        <v>0.32996108949416297</v>
      </c>
      <c r="I726" s="211">
        <v>3.1072727272727301</v>
      </c>
      <c r="J726" s="211">
        <v>-0.31392746681936201</v>
      </c>
      <c r="K726" s="288">
        <v>-403.39679486287997</v>
      </c>
    </row>
    <row r="727" spans="2:11" x14ac:dyDescent="0.2">
      <c r="B727">
        <v>10</v>
      </c>
      <c r="C727">
        <v>2113</v>
      </c>
      <c r="D727" s="308" t="s">
        <v>1299</v>
      </c>
      <c r="E727" s="291">
        <v>2271</v>
      </c>
      <c r="F727" s="291">
        <v>669</v>
      </c>
      <c r="G727" s="291">
        <v>2391</v>
      </c>
      <c r="H727" s="287">
        <v>0.29458388375165101</v>
      </c>
      <c r="I727" s="211">
        <v>1.2296110414052701</v>
      </c>
      <c r="J727" s="211">
        <v>-0.38859796541670599</v>
      </c>
      <c r="K727" s="288">
        <v>-882.50597946133996</v>
      </c>
    </row>
    <row r="728" spans="2:11" x14ac:dyDescent="0.2">
      <c r="B728">
        <v>10</v>
      </c>
      <c r="C728">
        <v>2114</v>
      </c>
      <c r="D728" s="308" t="s">
        <v>1300</v>
      </c>
      <c r="E728" s="291">
        <v>1347</v>
      </c>
      <c r="F728" s="291">
        <v>382</v>
      </c>
      <c r="G728" s="291">
        <v>1545</v>
      </c>
      <c r="H728" s="287">
        <v>0.28359317000742401</v>
      </c>
      <c r="I728" s="211">
        <v>1.11909385113269</v>
      </c>
      <c r="J728" s="211">
        <v>-0.44155505596040201</v>
      </c>
      <c r="K728" s="288">
        <v>-594.77466037866202</v>
      </c>
    </row>
    <row r="729" spans="2:11" x14ac:dyDescent="0.2">
      <c r="B729">
        <v>10</v>
      </c>
      <c r="C729">
        <v>2115</v>
      </c>
      <c r="D729" s="308" t="s">
        <v>1301</v>
      </c>
      <c r="E729" s="291">
        <v>896</v>
      </c>
      <c r="F729" s="291">
        <v>123</v>
      </c>
      <c r="G729" s="291">
        <v>1022</v>
      </c>
      <c r="H729" s="287">
        <v>0.137276785714286</v>
      </c>
      <c r="I729" s="211">
        <v>0.99706457925636005</v>
      </c>
      <c r="J729" s="211">
        <v>-0.64454980746388102</v>
      </c>
      <c r="K729" s="288">
        <v>-577.51662748763704</v>
      </c>
    </row>
    <row r="730" spans="2:11" x14ac:dyDescent="0.2">
      <c r="B730">
        <v>10</v>
      </c>
      <c r="C730">
        <v>2116</v>
      </c>
      <c r="D730" s="308" t="s">
        <v>1302</v>
      </c>
      <c r="E730" s="291">
        <v>971</v>
      </c>
      <c r="F730" s="291">
        <v>172</v>
      </c>
      <c r="G730" s="291">
        <v>986</v>
      </c>
      <c r="H730" s="287">
        <v>0.17713697219361499</v>
      </c>
      <c r="I730" s="211">
        <v>1.1592292089249501</v>
      </c>
      <c r="J730" s="211">
        <v>-0.58637417352755095</v>
      </c>
      <c r="K730" s="288">
        <v>-569.36932249525205</v>
      </c>
    </row>
    <row r="731" spans="2:11" x14ac:dyDescent="0.2">
      <c r="B731">
        <v>10</v>
      </c>
      <c r="C731">
        <v>2121</v>
      </c>
      <c r="D731" s="308" t="s">
        <v>1303</v>
      </c>
      <c r="E731" s="291">
        <v>1541</v>
      </c>
      <c r="F731" s="291">
        <v>378</v>
      </c>
      <c r="G731" s="291">
        <v>5426</v>
      </c>
      <c r="H731" s="287">
        <v>0.245295262816353</v>
      </c>
      <c r="I731" s="211">
        <v>0.35366752672318502</v>
      </c>
      <c r="J731" s="211">
        <v>-0.50952654837953804</v>
      </c>
      <c r="K731" s="288">
        <v>-785.18041105286795</v>
      </c>
    </row>
    <row r="732" spans="2:11" x14ac:dyDescent="0.2">
      <c r="B732">
        <v>10</v>
      </c>
      <c r="C732">
        <v>2122</v>
      </c>
      <c r="D732" s="308" t="s">
        <v>1304</v>
      </c>
      <c r="E732" s="291">
        <v>1801</v>
      </c>
      <c r="F732" s="291">
        <v>360</v>
      </c>
      <c r="G732" s="291">
        <v>1002</v>
      </c>
      <c r="H732" s="287">
        <v>0.19988895058300901</v>
      </c>
      <c r="I732" s="211">
        <v>2.1566866267465099</v>
      </c>
      <c r="J732" s="211">
        <v>-0.49007444009388901</v>
      </c>
      <c r="K732" s="288">
        <v>-882.62406660909403</v>
      </c>
    </row>
    <row r="733" spans="2:11" x14ac:dyDescent="0.2">
      <c r="B733">
        <v>10</v>
      </c>
      <c r="C733">
        <v>2123</v>
      </c>
      <c r="D733" s="308" t="s">
        <v>1305</v>
      </c>
      <c r="E733" s="291">
        <v>569</v>
      </c>
      <c r="F733" s="291">
        <v>151</v>
      </c>
      <c r="G733" s="291">
        <v>409</v>
      </c>
      <c r="H733" s="287">
        <v>0.265377855887522</v>
      </c>
      <c r="I733" s="211">
        <v>1.7603911980440099</v>
      </c>
      <c r="J733" s="211">
        <v>-0.470455922643428</v>
      </c>
      <c r="K733" s="288">
        <v>-267.68941998410997</v>
      </c>
    </row>
    <row r="734" spans="2:11" x14ac:dyDescent="0.2">
      <c r="B734">
        <v>10</v>
      </c>
      <c r="C734">
        <v>2124</v>
      </c>
      <c r="D734" s="308" t="s">
        <v>1306</v>
      </c>
      <c r="E734" s="291">
        <v>2632</v>
      </c>
      <c r="F734" s="291">
        <v>1048</v>
      </c>
      <c r="G734" s="291">
        <v>957</v>
      </c>
      <c r="H734" s="287">
        <v>0.39817629179331299</v>
      </c>
      <c r="I734" s="211">
        <v>3.8453500522466002</v>
      </c>
      <c r="J734" s="211">
        <v>-0.15100057620221599</v>
      </c>
      <c r="K734" s="288">
        <v>-397.43351656423198</v>
      </c>
    </row>
    <row r="735" spans="2:11" x14ac:dyDescent="0.2">
      <c r="B735">
        <v>10</v>
      </c>
      <c r="C735">
        <v>2125</v>
      </c>
      <c r="D735" s="308" t="s">
        <v>1307</v>
      </c>
      <c r="E735" s="291">
        <v>22523</v>
      </c>
      <c r="F735" s="291">
        <v>14411</v>
      </c>
      <c r="G735" s="291">
        <v>2364</v>
      </c>
      <c r="H735" s="287">
        <v>0.63983483550148701</v>
      </c>
      <c r="I735" s="211">
        <v>15.6235194585448</v>
      </c>
      <c r="J735" s="211">
        <v>1.3382075040149399</v>
      </c>
      <c r="K735" s="288">
        <v>30140.447612928499</v>
      </c>
    </row>
    <row r="736" spans="2:11" x14ac:dyDescent="0.2">
      <c r="B736">
        <v>10</v>
      </c>
      <c r="C736">
        <v>2128</v>
      </c>
      <c r="D736" s="308" t="s">
        <v>1308</v>
      </c>
      <c r="E736" s="291">
        <v>276</v>
      </c>
      <c r="F736" s="291">
        <v>25</v>
      </c>
      <c r="G736" s="291">
        <v>195</v>
      </c>
      <c r="H736" s="287">
        <v>9.0579710144927494E-2</v>
      </c>
      <c r="I736" s="211">
        <v>1.5435897435897401</v>
      </c>
      <c r="J736" s="211">
        <v>-0.70616493811070302</v>
      </c>
      <c r="K736" s="288">
        <v>-194.90152291855401</v>
      </c>
    </row>
    <row r="737" spans="2:11" x14ac:dyDescent="0.2">
      <c r="B737">
        <v>10</v>
      </c>
      <c r="C737">
        <v>2129</v>
      </c>
      <c r="D737" s="308" t="s">
        <v>1309</v>
      </c>
      <c r="E737" s="291">
        <v>857</v>
      </c>
      <c r="F737" s="291">
        <v>163</v>
      </c>
      <c r="G737" s="291">
        <v>962</v>
      </c>
      <c r="H737" s="287">
        <v>0.19019836639439899</v>
      </c>
      <c r="I737" s="211">
        <v>1.06029106029106</v>
      </c>
      <c r="J737" s="211">
        <v>-0.57815462020094499</v>
      </c>
      <c r="K737" s="288">
        <v>-495.47850951221</v>
      </c>
    </row>
    <row r="738" spans="2:11" x14ac:dyDescent="0.2">
      <c r="B738">
        <v>10</v>
      </c>
      <c r="C738">
        <v>2130</v>
      </c>
      <c r="D738" s="308" t="s">
        <v>1310</v>
      </c>
      <c r="E738" s="291">
        <v>333</v>
      </c>
      <c r="F738" s="291">
        <v>17</v>
      </c>
      <c r="G738" s="291">
        <v>166</v>
      </c>
      <c r="H738" s="287">
        <v>5.1051051051051101E-2</v>
      </c>
      <c r="I738" s="211">
        <v>2.1084337349397599</v>
      </c>
      <c r="J738" s="211">
        <v>-0.73236104705516902</v>
      </c>
      <c r="K738" s="288">
        <v>-243.87622866937099</v>
      </c>
    </row>
    <row r="739" spans="2:11" x14ac:dyDescent="0.2">
      <c r="B739">
        <v>10</v>
      </c>
      <c r="C739">
        <v>2131</v>
      </c>
      <c r="D739" s="308" t="s">
        <v>1311</v>
      </c>
      <c r="E739" s="291">
        <v>802</v>
      </c>
      <c r="F739" s="291">
        <v>137</v>
      </c>
      <c r="G739" s="291">
        <v>452</v>
      </c>
      <c r="H739" s="287">
        <v>0.17082294264339201</v>
      </c>
      <c r="I739" s="211">
        <v>2.0774336283185799</v>
      </c>
      <c r="J739" s="211">
        <v>-0.567154816968511</v>
      </c>
      <c r="K739" s="288">
        <v>-454.85816320874602</v>
      </c>
    </row>
    <row r="740" spans="2:11" x14ac:dyDescent="0.2">
      <c r="B740">
        <v>10</v>
      </c>
      <c r="C740">
        <v>2134</v>
      </c>
      <c r="D740" s="308" t="s">
        <v>1312</v>
      </c>
      <c r="E740" s="291">
        <v>812</v>
      </c>
      <c r="F740" s="291">
        <v>179</v>
      </c>
      <c r="G740" s="291">
        <v>1942</v>
      </c>
      <c r="H740" s="287">
        <v>0.22044334975369501</v>
      </c>
      <c r="I740" s="211">
        <v>0.51029866117404699</v>
      </c>
      <c r="J740" s="211">
        <v>-0.56246213238477505</v>
      </c>
      <c r="K740" s="288">
        <v>-456.71925149643801</v>
      </c>
    </row>
    <row r="741" spans="2:11" x14ac:dyDescent="0.2">
      <c r="B741">
        <v>10</v>
      </c>
      <c r="C741">
        <v>2135</v>
      </c>
      <c r="D741" s="308" t="s">
        <v>1313</v>
      </c>
      <c r="E741" s="291">
        <v>2194</v>
      </c>
      <c r="F741" s="291">
        <v>1134</v>
      </c>
      <c r="G741" s="291">
        <v>2734</v>
      </c>
      <c r="H741" s="287">
        <v>0.51686417502278903</v>
      </c>
      <c r="I741" s="211">
        <v>1.2172640819312399</v>
      </c>
      <c r="J741" s="211">
        <v>-0.11654880793764499</v>
      </c>
      <c r="K741" s="288">
        <v>-255.708084615194</v>
      </c>
    </row>
    <row r="742" spans="2:11" x14ac:dyDescent="0.2">
      <c r="B742">
        <v>10</v>
      </c>
      <c r="C742">
        <v>2137</v>
      </c>
      <c r="D742" s="308" t="s">
        <v>1314</v>
      </c>
      <c r="E742" s="291">
        <v>663</v>
      </c>
      <c r="F742" s="291">
        <v>84</v>
      </c>
      <c r="G742" s="291">
        <v>1048</v>
      </c>
      <c r="H742" s="287">
        <v>0.12669683257918599</v>
      </c>
      <c r="I742" s="211">
        <v>0.71278625954198505</v>
      </c>
      <c r="J742" s="211">
        <v>-0.67693486509319201</v>
      </c>
      <c r="K742" s="288">
        <v>-448.80781555678698</v>
      </c>
    </row>
    <row r="743" spans="2:11" x14ac:dyDescent="0.2">
      <c r="B743">
        <v>10</v>
      </c>
      <c r="C743">
        <v>2138</v>
      </c>
      <c r="D743" s="308" t="s">
        <v>1315</v>
      </c>
      <c r="E743" s="291">
        <v>671</v>
      </c>
      <c r="F743" s="291">
        <v>238</v>
      </c>
      <c r="G743" s="291">
        <v>4661</v>
      </c>
      <c r="H743" s="287">
        <v>0.35469448584202701</v>
      </c>
      <c r="I743" s="211">
        <v>0.19502252735464501</v>
      </c>
      <c r="J743" s="211">
        <v>-0.41299338697931498</v>
      </c>
      <c r="K743" s="288">
        <v>-277.11856266311997</v>
      </c>
    </row>
    <row r="744" spans="2:11" x14ac:dyDescent="0.2">
      <c r="B744">
        <v>10</v>
      </c>
      <c r="C744">
        <v>2140</v>
      </c>
      <c r="D744" s="308" t="s">
        <v>1316</v>
      </c>
      <c r="E744" s="291">
        <v>1871</v>
      </c>
      <c r="F744" s="291">
        <v>953</v>
      </c>
      <c r="G744" s="291">
        <v>779</v>
      </c>
      <c r="H744" s="287">
        <v>0.50935328701229299</v>
      </c>
      <c r="I744" s="211">
        <v>3.6251604621309399</v>
      </c>
      <c r="J744" s="211">
        <v>-5.0345098034941402E-2</v>
      </c>
      <c r="K744" s="288">
        <v>-94.195678423375398</v>
      </c>
    </row>
    <row r="745" spans="2:11" x14ac:dyDescent="0.2">
      <c r="B745">
        <v>10</v>
      </c>
      <c r="C745">
        <v>2143</v>
      </c>
      <c r="D745" s="308" t="s">
        <v>1317</v>
      </c>
      <c r="E745" s="291">
        <v>587</v>
      </c>
      <c r="F745" s="291">
        <v>135</v>
      </c>
      <c r="G745" s="291">
        <v>251</v>
      </c>
      <c r="H745" s="287">
        <v>0.22998296422487199</v>
      </c>
      <c r="I745" s="211">
        <v>2.8764940239043799</v>
      </c>
      <c r="J745" s="211">
        <v>-0.47290699322106899</v>
      </c>
      <c r="K745" s="288">
        <v>-277.59640502076701</v>
      </c>
    </row>
    <row r="746" spans="2:11" x14ac:dyDescent="0.2">
      <c r="B746">
        <v>10</v>
      </c>
      <c r="C746">
        <v>2145</v>
      </c>
      <c r="D746" s="308" t="s">
        <v>1318</v>
      </c>
      <c r="E746" s="291">
        <v>1168</v>
      </c>
      <c r="F746" s="291">
        <v>222</v>
      </c>
      <c r="G746" s="291">
        <v>446</v>
      </c>
      <c r="H746" s="287">
        <v>0.190068493150685</v>
      </c>
      <c r="I746" s="211">
        <v>3.1165919282511201</v>
      </c>
      <c r="J746" s="211">
        <v>-0.49140785189664599</v>
      </c>
      <c r="K746" s="288">
        <v>-573.96437101528295</v>
      </c>
    </row>
    <row r="747" spans="2:11" x14ac:dyDescent="0.2">
      <c r="B747">
        <v>10</v>
      </c>
      <c r="C747">
        <v>2147</v>
      </c>
      <c r="D747" s="308" t="s">
        <v>1319</v>
      </c>
      <c r="E747" s="291">
        <v>584</v>
      </c>
      <c r="F747" s="291">
        <v>118</v>
      </c>
      <c r="G747" s="291">
        <v>432</v>
      </c>
      <c r="H747" s="287">
        <v>0.202054794520548</v>
      </c>
      <c r="I747" s="211">
        <v>1.625</v>
      </c>
      <c r="J747" s="211">
        <v>-0.553290223591418</v>
      </c>
      <c r="K747" s="288">
        <v>-323.12149057738799</v>
      </c>
    </row>
    <row r="748" spans="2:11" x14ac:dyDescent="0.2">
      <c r="B748">
        <v>10</v>
      </c>
      <c r="C748">
        <v>2148</v>
      </c>
      <c r="D748" s="308" t="s">
        <v>1320</v>
      </c>
      <c r="E748" s="291">
        <v>2496</v>
      </c>
      <c r="F748" s="291">
        <v>1214</v>
      </c>
      <c r="G748" s="291">
        <v>777</v>
      </c>
      <c r="H748" s="287">
        <v>0.48637820512820501</v>
      </c>
      <c r="I748" s="211">
        <v>4.7747747747747704</v>
      </c>
      <c r="J748" s="211">
        <v>-1.2990164164263599E-2</v>
      </c>
      <c r="K748" s="288">
        <v>-32.4234497540021</v>
      </c>
    </row>
    <row r="749" spans="2:11" x14ac:dyDescent="0.2">
      <c r="B749">
        <v>10</v>
      </c>
      <c r="C749">
        <v>2149</v>
      </c>
      <c r="D749" s="308" t="s">
        <v>1321</v>
      </c>
      <c r="E749" s="291">
        <v>1644</v>
      </c>
      <c r="F749" s="291">
        <v>590</v>
      </c>
      <c r="G749" s="291">
        <v>2359</v>
      </c>
      <c r="H749" s="287">
        <v>0.35888077858880801</v>
      </c>
      <c r="I749" s="211">
        <v>0.94701144552776595</v>
      </c>
      <c r="J749" s="211">
        <v>-0.343191599850038</v>
      </c>
      <c r="K749" s="288">
        <v>-564.20699015346304</v>
      </c>
    </row>
    <row r="750" spans="2:11" x14ac:dyDescent="0.2">
      <c r="B750">
        <v>10</v>
      </c>
      <c r="C750">
        <v>2152</v>
      </c>
      <c r="D750" s="308" t="s">
        <v>1322</v>
      </c>
      <c r="E750" s="291">
        <v>1446</v>
      </c>
      <c r="F750" s="291">
        <v>758</v>
      </c>
      <c r="G750" s="291">
        <v>1859</v>
      </c>
      <c r="H750" s="287">
        <v>0.52420470262793895</v>
      </c>
      <c r="I750" s="211">
        <v>1.18558364712211</v>
      </c>
      <c r="J750" s="211">
        <v>-0.13718923962203</v>
      </c>
      <c r="K750" s="288">
        <v>-198.37564049345599</v>
      </c>
    </row>
    <row r="751" spans="2:11" x14ac:dyDescent="0.2">
      <c r="B751">
        <v>10</v>
      </c>
      <c r="C751">
        <v>2153</v>
      </c>
      <c r="D751" s="308" t="s">
        <v>1323</v>
      </c>
      <c r="E751" s="291">
        <v>1082</v>
      </c>
      <c r="F751" s="291">
        <v>321</v>
      </c>
      <c r="G751" s="291">
        <v>873</v>
      </c>
      <c r="H751" s="287">
        <v>0.296672828096118</v>
      </c>
      <c r="I751" s="211">
        <v>1.6071019473081301</v>
      </c>
      <c r="J751" s="211">
        <v>-0.41766764683632401</v>
      </c>
      <c r="K751" s="288">
        <v>-451.91639387690202</v>
      </c>
    </row>
    <row r="752" spans="2:11" x14ac:dyDescent="0.2">
      <c r="B752">
        <v>10</v>
      </c>
      <c r="C752">
        <v>2155</v>
      </c>
      <c r="D752" s="308" t="s">
        <v>1324</v>
      </c>
      <c r="E752" s="291">
        <v>1045</v>
      </c>
      <c r="F752" s="291">
        <v>559</v>
      </c>
      <c r="G752" s="291">
        <v>1002</v>
      </c>
      <c r="H752" s="287">
        <v>0.53492822966507203</v>
      </c>
      <c r="I752" s="211">
        <v>1.60079840319361</v>
      </c>
      <c r="J752" s="211">
        <v>-0.124073831375037</v>
      </c>
      <c r="K752" s="288">
        <v>-129.65715378691399</v>
      </c>
    </row>
    <row r="753" spans="2:11" x14ac:dyDescent="0.2">
      <c r="B753">
        <v>10</v>
      </c>
      <c r="C753">
        <v>2160</v>
      </c>
      <c r="D753" s="308" t="s">
        <v>1325</v>
      </c>
      <c r="E753" s="291">
        <v>2296</v>
      </c>
      <c r="F753" s="291">
        <v>1015</v>
      </c>
      <c r="G753" s="291">
        <v>1043</v>
      </c>
      <c r="H753" s="287">
        <v>0.44207317073170699</v>
      </c>
      <c r="I753" s="211">
        <v>3.1744966442953002</v>
      </c>
      <c r="J753" s="211">
        <v>-0.13391974305946799</v>
      </c>
      <c r="K753" s="288">
        <v>-307.47973006453799</v>
      </c>
    </row>
    <row r="754" spans="2:11" x14ac:dyDescent="0.2">
      <c r="B754">
        <v>10</v>
      </c>
      <c r="C754">
        <v>2162</v>
      </c>
      <c r="D754" s="308" t="s">
        <v>1326</v>
      </c>
      <c r="E754" s="291">
        <v>1324</v>
      </c>
      <c r="F754" s="291">
        <v>439</v>
      </c>
      <c r="G754" s="291">
        <v>3047</v>
      </c>
      <c r="H754" s="287">
        <v>0.33157099697885201</v>
      </c>
      <c r="I754" s="211">
        <v>0.57860190351165097</v>
      </c>
      <c r="J754" s="211">
        <v>-0.40270142983623303</v>
      </c>
      <c r="K754" s="288">
        <v>-533.17669310317297</v>
      </c>
    </row>
    <row r="755" spans="2:11" x14ac:dyDescent="0.2">
      <c r="B755">
        <v>10</v>
      </c>
      <c r="C755">
        <v>2163</v>
      </c>
      <c r="D755" s="308" t="s">
        <v>1327</v>
      </c>
      <c r="E755" s="291">
        <v>2435</v>
      </c>
      <c r="F755" s="291">
        <v>1044</v>
      </c>
      <c r="G755" s="291">
        <v>9890</v>
      </c>
      <c r="H755" s="287">
        <v>0.42874743326488701</v>
      </c>
      <c r="I755" s="211">
        <v>0.35176946410515703</v>
      </c>
      <c r="J755" s="211">
        <v>-0.24810918117338099</v>
      </c>
      <c r="K755" s="288">
        <v>-604.14585615718295</v>
      </c>
    </row>
    <row r="756" spans="2:11" x14ac:dyDescent="0.2">
      <c r="B756">
        <v>10</v>
      </c>
      <c r="C756">
        <v>2171</v>
      </c>
      <c r="D756" s="308" t="s">
        <v>1328</v>
      </c>
      <c r="E756" s="291">
        <v>913</v>
      </c>
      <c r="F756" s="291">
        <v>109</v>
      </c>
      <c r="G756" s="291">
        <v>599</v>
      </c>
      <c r="H756" s="287">
        <v>0.119386637458927</v>
      </c>
      <c r="I756" s="211">
        <v>1.7061769616026701</v>
      </c>
      <c r="J756" s="211">
        <v>-0.64019696657997505</v>
      </c>
      <c r="K756" s="288">
        <v>-584.49983048751801</v>
      </c>
    </row>
    <row r="757" spans="2:11" x14ac:dyDescent="0.2">
      <c r="B757">
        <v>10</v>
      </c>
      <c r="C757">
        <v>2173</v>
      </c>
      <c r="D757" s="308" t="s">
        <v>1329</v>
      </c>
      <c r="E757" s="291">
        <v>792</v>
      </c>
      <c r="F757" s="291">
        <v>102</v>
      </c>
      <c r="G757" s="291">
        <v>611</v>
      </c>
      <c r="H757" s="287">
        <v>0.12878787878787901</v>
      </c>
      <c r="I757" s="211">
        <v>1.4631751227495899</v>
      </c>
      <c r="J757" s="211">
        <v>-0.64203660294847398</v>
      </c>
      <c r="K757" s="288">
        <v>-508.49298953519201</v>
      </c>
    </row>
    <row r="758" spans="2:11" x14ac:dyDescent="0.2">
      <c r="B758">
        <v>10</v>
      </c>
      <c r="C758">
        <v>2174</v>
      </c>
      <c r="D758" s="308" t="s">
        <v>1330</v>
      </c>
      <c r="E758" s="291">
        <v>1864</v>
      </c>
      <c r="F758" s="291">
        <v>1445</v>
      </c>
      <c r="G758" s="291">
        <v>577</v>
      </c>
      <c r="H758" s="287">
        <v>0.77521459227467804</v>
      </c>
      <c r="I758" s="211">
        <v>5.7348353552859601</v>
      </c>
      <c r="J758" s="211">
        <v>0.35580515354264303</v>
      </c>
      <c r="K758" s="288">
        <v>663.22080620348595</v>
      </c>
    </row>
    <row r="759" spans="2:11" x14ac:dyDescent="0.2">
      <c r="B759">
        <v>10</v>
      </c>
      <c r="C759">
        <v>2175</v>
      </c>
      <c r="D759" s="308" t="s">
        <v>1331</v>
      </c>
      <c r="E759" s="291">
        <v>3348</v>
      </c>
      <c r="F759" s="291">
        <v>685</v>
      </c>
      <c r="G759" s="291">
        <v>887</v>
      </c>
      <c r="H759" s="287">
        <v>0.20459976105137401</v>
      </c>
      <c r="I759" s="211">
        <v>4.5467869222096997</v>
      </c>
      <c r="J759" s="211">
        <v>-0.33792362541959398</v>
      </c>
      <c r="K759" s="288">
        <v>-1131.3682979048001</v>
      </c>
    </row>
    <row r="760" spans="2:11" x14ac:dyDescent="0.2">
      <c r="B760">
        <v>10</v>
      </c>
      <c r="C760">
        <v>2177</v>
      </c>
      <c r="D760" s="308" t="s">
        <v>1332</v>
      </c>
      <c r="E760" s="291">
        <v>844</v>
      </c>
      <c r="F760" s="291">
        <v>189</v>
      </c>
      <c r="G760" s="291">
        <v>393</v>
      </c>
      <c r="H760" s="287">
        <v>0.22393364928910001</v>
      </c>
      <c r="I760" s="211">
        <v>2.6284987277353702</v>
      </c>
      <c r="J760" s="211">
        <v>-0.47963141283454502</v>
      </c>
      <c r="K760" s="288">
        <v>-404.80891243235601</v>
      </c>
    </row>
    <row r="761" spans="2:11" x14ac:dyDescent="0.2">
      <c r="B761">
        <v>10</v>
      </c>
      <c r="C761">
        <v>2183</v>
      </c>
      <c r="D761" s="308" t="s">
        <v>1333</v>
      </c>
      <c r="E761" s="291">
        <v>2454</v>
      </c>
      <c r="F761" s="291">
        <v>844</v>
      </c>
      <c r="G761" s="291">
        <v>721</v>
      </c>
      <c r="H761" s="287">
        <v>0.34392828035859802</v>
      </c>
      <c r="I761" s="211">
        <v>4.5742024965325898</v>
      </c>
      <c r="J761" s="211">
        <v>-0.19843172226135999</v>
      </c>
      <c r="K761" s="288">
        <v>-486.951446429378</v>
      </c>
    </row>
    <row r="762" spans="2:11" x14ac:dyDescent="0.2">
      <c r="B762">
        <v>10</v>
      </c>
      <c r="C762">
        <v>2185</v>
      </c>
      <c r="D762" s="308" t="s">
        <v>1334</v>
      </c>
      <c r="E762" s="291">
        <v>409</v>
      </c>
      <c r="F762" s="291">
        <v>81</v>
      </c>
      <c r="G762" s="291">
        <v>341</v>
      </c>
      <c r="H762" s="287">
        <v>0.19804400977995101</v>
      </c>
      <c r="I762" s="211">
        <v>1.43695014662757</v>
      </c>
      <c r="J762" s="211">
        <v>-0.57180793875909897</v>
      </c>
      <c r="K762" s="288">
        <v>-233.869446952472</v>
      </c>
    </row>
    <row r="763" spans="2:11" x14ac:dyDescent="0.2">
      <c r="B763">
        <v>10</v>
      </c>
      <c r="C763">
        <v>2186</v>
      </c>
      <c r="D763" s="308" t="s">
        <v>1335</v>
      </c>
      <c r="E763" s="291">
        <v>1473</v>
      </c>
      <c r="F763" s="291">
        <v>364</v>
      </c>
      <c r="G763" s="291">
        <v>492</v>
      </c>
      <c r="H763" s="287">
        <v>0.247114731839783</v>
      </c>
      <c r="I763" s="211">
        <v>3.7337398373983701</v>
      </c>
      <c r="J763" s="211">
        <v>-0.386547542245602</v>
      </c>
      <c r="K763" s="288">
        <v>-569.384529727771</v>
      </c>
    </row>
    <row r="764" spans="2:11" x14ac:dyDescent="0.2">
      <c r="B764">
        <v>10</v>
      </c>
      <c r="C764">
        <v>2189</v>
      </c>
      <c r="D764" s="308" t="s">
        <v>1336</v>
      </c>
      <c r="E764" s="291">
        <v>1117</v>
      </c>
      <c r="F764" s="291">
        <v>232</v>
      </c>
      <c r="G764" s="291">
        <v>560</v>
      </c>
      <c r="H764" s="287">
        <v>0.20769919427036701</v>
      </c>
      <c r="I764" s="211">
        <v>2.4089285714285702</v>
      </c>
      <c r="J764" s="211">
        <v>-0.49732844434019802</v>
      </c>
      <c r="K764" s="288">
        <v>-555.51587232800205</v>
      </c>
    </row>
    <row r="765" spans="2:11" x14ac:dyDescent="0.2">
      <c r="B765">
        <v>10</v>
      </c>
      <c r="C765">
        <v>2194</v>
      </c>
      <c r="D765" s="308" t="s">
        <v>1337</v>
      </c>
      <c r="E765" s="291">
        <v>277</v>
      </c>
      <c r="F765" s="291">
        <v>100</v>
      </c>
      <c r="G765" s="291">
        <v>102</v>
      </c>
      <c r="H765" s="287">
        <v>0.36101083032490999</v>
      </c>
      <c r="I765" s="211">
        <v>3.6960784313725501</v>
      </c>
      <c r="J765" s="211">
        <v>-0.292484189913852</v>
      </c>
      <c r="K765" s="288">
        <v>-81.018120606136904</v>
      </c>
    </row>
    <row r="766" spans="2:11" x14ac:dyDescent="0.2">
      <c r="B766">
        <v>10</v>
      </c>
      <c r="C766">
        <v>2196</v>
      </c>
      <c r="D766" s="308" t="s">
        <v>1338</v>
      </c>
      <c r="E766" s="291">
        <v>38829</v>
      </c>
      <c r="F766" s="291">
        <v>33261</v>
      </c>
      <c r="G766" s="291">
        <v>876</v>
      </c>
      <c r="H766" s="287">
        <v>0.85660202426021803</v>
      </c>
      <c r="I766" s="211">
        <v>82.294520547945197</v>
      </c>
      <c r="J766" s="211">
        <v>4.6623663476303197</v>
      </c>
      <c r="K766" s="288">
        <v>181035.022912138</v>
      </c>
    </row>
    <row r="767" spans="2:11" x14ac:dyDescent="0.2">
      <c r="B767">
        <v>10</v>
      </c>
      <c r="C767">
        <v>2197</v>
      </c>
      <c r="D767" s="308" t="s">
        <v>1339</v>
      </c>
      <c r="E767" s="291">
        <v>3178</v>
      </c>
      <c r="F767" s="291">
        <v>4652</v>
      </c>
      <c r="G767" s="291">
        <v>344</v>
      </c>
      <c r="H767" s="287">
        <v>1.46381371932033</v>
      </c>
      <c r="I767" s="211">
        <v>22.761627906976699</v>
      </c>
      <c r="J767" s="211">
        <v>1.88052575493144</v>
      </c>
      <c r="K767" s="288">
        <v>5976.3108491721196</v>
      </c>
    </row>
    <row r="768" spans="2:11" x14ac:dyDescent="0.2">
      <c r="B768">
        <v>10</v>
      </c>
      <c r="C768">
        <v>2198</v>
      </c>
      <c r="D768" s="308" t="s">
        <v>1340</v>
      </c>
      <c r="E768" s="291">
        <v>3606</v>
      </c>
      <c r="F768" s="291">
        <v>4154</v>
      </c>
      <c r="G768" s="291">
        <v>366</v>
      </c>
      <c r="H768" s="287">
        <v>1.15196894065446</v>
      </c>
      <c r="I768" s="211">
        <v>21.202185792349699</v>
      </c>
      <c r="J768" s="211">
        <v>1.45355597373991</v>
      </c>
      <c r="K768" s="288">
        <v>5241.5228413061004</v>
      </c>
    </row>
    <row r="769" spans="2:11" x14ac:dyDescent="0.2">
      <c r="B769">
        <v>10</v>
      </c>
      <c r="C769">
        <v>2200</v>
      </c>
      <c r="D769" s="308" t="s">
        <v>1341</v>
      </c>
      <c r="E769" s="291">
        <v>1945</v>
      </c>
      <c r="F769" s="291">
        <v>819</v>
      </c>
      <c r="G769" s="291">
        <v>535</v>
      </c>
      <c r="H769" s="287">
        <v>0.42107969151670899</v>
      </c>
      <c r="I769" s="211">
        <v>5.1663551401869201</v>
      </c>
      <c r="J769" s="211">
        <v>-0.10067226922259501</v>
      </c>
      <c r="K769" s="288">
        <v>-195.80756363794799</v>
      </c>
    </row>
    <row r="770" spans="2:11" x14ac:dyDescent="0.2">
      <c r="B770">
        <v>10</v>
      </c>
      <c r="C770">
        <v>2206</v>
      </c>
      <c r="D770" s="308" t="s">
        <v>1342</v>
      </c>
      <c r="E770" s="291">
        <v>8185</v>
      </c>
      <c r="F770" s="291">
        <v>2651</v>
      </c>
      <c r="G770" s="291">
        <v>734</v>
      </c>
      <c r="H770" s="287">
        <v>0.32388515577275501</v>
      </c>
      <c r="I770" s="211">
        <v>14.762942779291601</v>
      </c>
      <c r="J770" s="211">
        <v>0.36744829822691899</v>
      </c>
      <c r="K770" s="288">
        <v>3007.5643209873301</v>
      </c>
    </row>
    <row r="771" spans="2:11" x14ac:dyDescent="0.2">
      <c r="B771">
        <v>10</v>
      </c>
      <c r="C771">
        <v>2208</v>
      </c>
      <c r="D771" s="308" t="s">
        <v>1343</v>
      </c>
      <c r="E771" s="291">
        <v>1533</v>
      </c>
      <c r="F771" s="291">
        <v>1426</v>
      </c>
      <c r="G771" s="291">
        <v>290</v>
      </c>
      <c r="H771" s="287">
        <v>0.93020221787345103</v>
      </c>
      <c r="I771" s="211">
        <v>10.203448275862099</v>
      </c>
      <c r="J771" s="211">
        <v>0.69825118428674304</v>
      </c>
      <c r="K771" s="288">
        <v>1070.4190655115799</v>
      </c>
    </row>
    <row r="772" spans="2:11" x14ac:dyDescent="0.2">
      <c r="B772">
        <v>10</v>
      </c>
      <c r="C772">
        <v>2211</v>
      </c>
      <c r="D772" s="308" t="s">
        <v>1344</v>
      </c>
      <c r="E772" s="291">
        <v>2587</v>
      </c>
      <c r="F772" s="291">
        <v>259</v>
      </c>
      <c r="G772" s="291">
        <v>551</v>
      </c>
      <c r="H772" s="287">
        <v>0.10011596443757199</v>
      </c>
      <c r="I772" s="211">
        <v>5.16515426497278</v>
      </c>
      <c r="J772" s="211">
        <v>-0.47391234770485602</v>
      </c>
      <c r="K772" s="288">
        <v>-1226.0112435124599</v>
      </c>
    </row>
    <row r="773" spans="2:11" x14ac:dyDescent="0.2">
      <c r="B773">
        <v>10</v>
      </c>
      <c r="C773">
        <v>2213</v>
      </c>
      <c r="D773" s="308" t="s">
        <v>1345</v>
      </c>
      <c r="E773" s="291">
        <v>652</v>
      </c>
      <c r="F773" s="291">
        <v>163</v>
      </c>
      <c r="G773" s="291">
        <v>673</v>
      </c>
      <c r="H773" s="287">
        <v>0.25</v>
      </c>
      <c r="I773" s="211">
        <v>1.2109955423476999</v>
      </c>
      <c r="J773" s="211">
        <v>-0.50638503719544103</v>
      </c>
      <c r="K773" s="288">
        <v>-330.16304425142698</v>
      </c>
    </row>
    <row r="774" spans="2:11" x14ac:dyDescent="0.2">
      <c r="B774">
        <v>10</v>
      </c>
      <c r="C774">
        <v>2216</v>
      </c>
      <c r="D774" s="308" t="s">
        <v>1346</v>
      </c>
      <c r="E774" s="291">
        <v>148</v>
      </c>
      <c r="F774" s="291">
        <v>38</v>
      </c>
      <c r="G774" s="291">
        <v>500</v>
      </c>
      <c r="H774" s="287">
        <v>0.25675675675675702</v>
      </c>
      <c r="I774" s="211">
        <v>0.372</v>
      </c>
      <c r="J774" s="211">
        <v>-0.54788080297397701</v>
      </c>
      <c r="K774" s="288">
        <v>-81.086358840148606</v>
      </c>
    </row>
    <row r="775" spans="2:11" x14ac:dyDescent="0.2">
      <c r="B775">
        <v>10</v>
      </c>
      <c r="C775">
        <v>2217</v>
      </c>
      <c r="D775" s="308" t="s">
        <v>1347</v>
      </c>
      <c r="E775" s="291">
        <v>723</v>
      </c>
      <c r="F775" s="291">
        <v>118</v>
      </c>
      <c r="G775" s="291">
        <v>591</v>
      </c>
      <c r="H775" s="287">
        <v>0.16320885200553301</v>
      </c>
      <c r="I775" s="211">
        <v>1.42301184433164</v>
      </c>
      <c r="J775" s="211">
        <v>-0.60348518578326504</v>
      </c>
      <c r="K775" s="288">
        <v>-436.31978932130102</v>
      </c>
    </row>
    <row r="776" spans="2:11" x14ac:dyDescent="0.2">
      <c r="B776">
        <v>10</v>
      </c>
      <c r="C776">
        <v>2220</v>
      </c>
      <c r="D776" s="308" t="s">
        <v>1348</v>
      </c>
      <c r="E776" s="291">
        <v>3156</v>
      </c>
      <c r="F776" s="291">
        <v>838</v>
      </c>
      <c r="G776" s="291">
        <v>1853</v>
      </c>
      <c r="H776" s="287">
        <v>0.26552598225601998</v>
      </c>
      <c r="I776" s="211">
        <v>2.1554236373448501</v>
      </c>
      <c r="J776" s="211">
        <v>-0.35701163285114101</v>
      </c>
      <c r="K776" s="288">
        <v>-1126.7287132782001</v>
      </c>
    </row>
    <row r="777" spans="2:11" x14ac:dyDescent="0.2">
      <c r="B777">
        <v>10</v>
      </c>
      <c r="C777">
        <v>2221</v>
      </c>
      <c r="D777" s="308" t="s">
        <v>1349</v>
      </c>
      <c r="E777" s="291">
        <v>1043</v>
      </c>
      <c r="F777" s="291">
        <v>173</v>
      </c>
      <c r="G777" s="291">
        <v>571</v>
      </c>
      <c r="H777" s="287">
        <v>0.165867689357622</v>
      </c>
      <c r="I777" s="211">
        <v>2.1295971978984198</v>
      </c>
      <c r="J777" s="211">
        <v>-0.562183508539292</v>
      </c>
      <c r="K777" s="288">
        <v>-586.35739940648102</v>
      </c>
    </row>
    <row r="778" spans="2:11" x14ac:dyDescent="0.2">
      <c r="B778">
        <v>10</v>
      </c>
      <c r="C778">
        <v>2225</v>
      </c>
      <c r="D778" s="308" t="s">
        <v>1350</v>
      </c>
      <c r="E778" s="291">
        <v>157</v>
      </c>
      <c r="F778" s="291">
        <v>15</v>
      </c>
      <c r="G778" s="291">
        <v>49</v>
      </c>
      <c r="H778" s="287">
        <v>9.5541401273885398E-2</v>
      </c>
      <c r="I778" s="211">
        <v>3.5102040816326499</v>
      </c>
      <c r="J778" s="211">
        <v>-0.63281118903837497</v>
      </c>
      <c r="K778" s="288">
        <v>-99.351356679024903</v>
      </c>
    </row>
    <row r="779" spans="2:11" x14ac:dyDescent="0.2">
      <c r="B779">
        <v>10</v>
      </c>
      <c r="C779">
        <v>2226</v>
      </c>
      <c r="D779" s="308" t="s">
        <v>1351</v>
      </c>
      <c r="E779" s="291">
        <v>1449</v>
      </c>
      <c r="F779" s="291">
        <v>417</v>
      </c>
      <c r="G779" s="291">
        <v>1130</v>
      </c>
      <c r="H779" s="287">
        <v>0.287784679089027</v>
      </c>
      <c r="I779" s="211">
        <v>1.6513274336283199</v>
      </c>
      <c r="J779" s="211">
        <v>-0.41304507122018003</v>
      </c>
      <c r="K779" s="288">
        <v>-598.50230819804199</v>
      </c>
    </row>
    <row r="780" spans="2:11" x14ac:dyDescent="0.2">
      <c r="B780">
        <v>10</v>
      </c>
      <c r="C780">
        <v>2228</v>
      </c>
      <c r="D780" s="308" t="s">
        <v>1352</v>
      </c>
      <c r="E780" s="291">
        <v>12128</v>
      </c>
      <c r="F780" s="291">
        <v>9237</v>
      </c>
      <c r="G780" s="291">
        <v>536</v>
      </c>
      <c r="H780" s="287">
        <v>0.76162598944590998</v>
      </c>
      <c r="I780" s="211">
        <v>39.860074626865703</v>
      </c>
      <c r="J780" s="211">
        <v>1.97621497041639</v>
      </c>
      <c r="K780" s="288">
        <v>23967.535161209998</v>
      </c>
    </row>
    <row r="781" spans="2:11" x14ac:dyDescent="0.2">
      <c r="B781">
        <v>10</v>
      </c>
      <c r="C781">
        <v>2230</v>
      </c>
      <c r="D781" s="308" t="s">
        <v>1353</v>
      </c>
      <c r="E781" s="291">
        <v>79</v>
      </c>
      <c r="F781" s="291">
        <v>16</v>
      </c>
      <c r="G781" s="291">
        <v>136</v>
      </c>
      <c r="H781" s="287">
        <v>0.20253164556962</v>
      </c>
      <c r="I781" s="211">
        <v>0.69852941176470595</v>
      </c>
      <c r="J781" s="211">
        <v>-0.60579757778406496</v>
      </c>
      <c r="K781" s="288">
        <v>-47.858008644941101</v>
      </c>
    </row>
    <row r="782" spans="2:11" x14ac:dyDescent="0.2">
      <c r="B782">
        <v>10</v>
      </c>
      <c r="C782">
        <v>2233</v>
      </c>
      <c r="D782" s="308" t="s">
        <v>1354</v>
      </c>
      <c r="E782" s="291">
        <v>2431</v>
      </c>
      <c r="F782" s="291">
        <v>1218</v>
      </c>
      <c r="G782" s="291">
        <v>1171</v>
      </c>
      <c r="H782" s="287">
        <v>0.50102838338132505</v>
      </c>
      <c r="I782" s="211">
        <v>3.11614005123826</v>
      </c>
      <c r="J782" s="211">
        <v>-5.7835430993190898E-2</v>
      </c>
      <c r="K782" s="288">
        <v>-140.59793274444701</v>
      </c>
    </row>
    <row r="783" spans="2:11" x14ac:dyDescent="0.2">
      <c r="B783">
        <v>10</v>
      </c>
      <c r="C783">
        <v>2234</v>
      </c>
      <c r="D783" s="308" t="s">
        <v>1355</v>
      </c>
      <c r="E783" s="291">
        <v>1983</v>
      </c>
      <c r="F783" s="291">
        <v>216</v>
      </c>
      <c r="G783" s="291">
        <v>1016</v>
      </c>
      <c r="H783" s="287">
        <v>0.1089258698941</v>
      </c>
      <c r="I783" s="211">
        <v>2.1643700787401601</v>
      </c>
      <c r="J783" s="211">
        <v>-0.595558172799731</v>
      </c>
      <c r="K783" s="288">
        <v>-1180.9918566618701</v>
      </c>
    </row>
    <row r="784" spans="2:11" x14ac:dyDescent="0.2">
      <c r="B784">
        <v>10</v>
      </c>
      <c r="C784">
        <v>2235</v>
      </c>
      <c r="D784" s="308" t="s">
        <v>1356</v>
      </c>
      <c r="E784" s="291">
        <v>1092</v>
      </c>
      <c r="F784" s="291">
        <v>223</v>
      </c>
      <c r="G784" s="291">
        <v>665</v>
      </c>
      <c r="H784" s="287">
        <v>0.20421245421245399</v>
      </c>
      <c r="I784" s="211">
        <v>1.97744360902256</v>
      </c>
      <c r="J784" s="211">
        <v>-0.51834714142038796</v>
      </c>
      <c r="K784" s="288">
        <v>-566.03507843106399</v>
      </c>
    </row>
    <row r="785" spans="2:11" x14ac:dyDescent="0.2">
      <c r="B785">
        <v>10</v>
      </c>
      <c r="C785">
        <v>2236</v>
      </c>
      <c r="D785" s="308" t="s">
        <v>1357</v>
      </c>
      <c r="E785" s="291">
        <v>7236</v>
      </c>
      <c r="F785" s="291">
        <v>2429</v>
      </c>
      <c r="G785" s="291">
        <v>3585</v>
      </c>
      <c r="H785" s="287">
        <v>0.33568269762299602</v>
      </c>
      <c r="I785" s="211">
        <v>2.6959553695955401</v>
      </c>
      <c r="J785" s="211">
        <v>-9.4459900036364203E-2</v>
      </c>
      <c r="K785" s="288">
        <v>-683.51183666313204</v>
      </c>
    </row>
    <row r="786" spans="2:11" x14ac:dyDescent="0.2">
      <c r="B786">
        <v>10</v>
      </c>
      <c r="C786">
        <v>2250</v>
      </c>
      <c r="D786" s="308" t="s">
        <v>1358</v>
      </c>
      <c r="E786" s="291">
        <v>1408</v>
      </c>
      <c r="F786" s="291">
        <v>568</v>
      </c>
      <c r="G786" s="291">
        <v>337</v>
      </c>
      <c r="H786" s="287">
        <v>0.40340909090909099</v>
      </c>
      <c r="I786" s="211">
        <v>5.8635014836795296</v>
      </c>
      <c r="J786" s="211">
        <v>-0.117652002241999</v>
      </c>
      <c r="K786" s="288">
        <v>-165.65401915673499</v>
      </c>
    </row>
    <row r="787" spans="2:11" x14ac:dyDescent="0.2">
      <c r="B787">
        <v>10</v>
      </c>
      <c r="C787">
        <v>2254</v>
      </c>
      <c r="D787" s="308" t="s">
        <v>1359</v>
      </c>
      <c r="E787" s="291">
        <v>5398</v>
      </c>
      <c r="F787" s="291">
        <v>2627</v>
      </c>
      <c r="G787" s="291">
        <v>2035</v>
      </c>
      <c r="H787" s="287">
        <v>0.48666172656539503</v>
      </c>
      <c r="I787" s="211">
        <v>3.9434889434889402</v>
      </c>
      <c r="J787" s="211">
        <v>6.7915412425371399E-2</v>
      </c>
      <c r="K787" s="288">
        <v>366.60739627215497</v>
      </c>
    </row>
    <row r="788" spans="2:11" x14ac:dyDescent="0.2">
      <c r="B788">
        <v>10</v>
      </c>
      <c r="C788">
        <v>2257</v>
      </c>
      <c r="D788" s="308" t="s">
        <v>1360</v>
      </c>
      <c r="E788" s="291">
        <v>942</v>
      </c>
      <c r="F788" s="291">
        <v>683</v>
      </c>
      <c r="G788" s="291">
        <v>417</v>
      </c>
      <c r="H788" s="287">
        <v>0.725053078556263</v>
      </c>
      <c r="I788" s="211">
        <v>3.8968824940047999</v>
      </c>
      <c r="J788" s="211">
        <v>0.19135958730932201</v>
      </c>
      <c r="K788" s="288">
        <v>180.26073124538101</v>
      </c>
    </row>
    <row r="789" spans="2:11" x14ac:dyDescent="0.2">
      <c r="B789">
        <v>10</v>
      </c>
      <c r="C789">
        <v>2258</v>
      </c>
      <c r="D789" s="308" t="s">
        <v>1361</v>
      </c>
      <c r="E789" s="291">
        <v>461</v>
      </c>
      <c r="F789" s="291">
        <v>96</v>
      </c>
      <c r="G789" s="291">
        <v>312</v>
      </c>
      <c r="H789" s="287">
        <v>0.20824295010846</v>
      </c>
      <c r="I789" s="211">
        <v>1.7852564102564099</v>
      </c>
      <c r="J789" s="211">
        <v>-0.544474859896106</v>
      </c>
      <c r="K789" s="288">
        <v>-251.002910412105</v>
      </c>
    </row>
    <row r="790" spans="2:11" x14ac:dyDescent="0.2">
      <c r="B790">
        <v>10</v>
      </c>
      <c r="C790">
        <v>2259</v>
      </c>
      <c r="D790" s="308" t="s">
        <v>1362</v>
      </c>
      <c r="E790" s="291">
        <v>672</v>
      </c>
      <c r="F790" s="291">
        <v>128</v>
      </c>
      <c r="G790" s="291">
        <v>870</v>
      </c>
      <c r="H790" s="287">
        <v>0.19047619047618999</v>
      </c>
      <c r="I790" s="211">
        <v>0.91954022988505701</v>
      </c>
      <c r="J790" s="211">
        <v>-0.59001442523914105</v>
      </c>
      <c r="K790" s="288">
        <v>-396.48969376070301</v>
      </c>
    </row>
    <row r="791" spans="2:11" x14ac:dyDescent="0.2">
      <c r="B791">
        <v>10</v>
      </c>
      <c r="C791">
        <v>2260</v>
      </c>
      <c r="D791" s="308" t="s">
        <v>1363</v>
      </c>
      <c r="E791" s="291">
        <v>297</v>
      </c>
      <c r="F791" s="291">
        <v>91</v>
      </c>
      <c r="G791" s="291">
        <v>164</v>
      </c>
      <c r="H791" s="287">
        <v>0.306397306397306</v>
      </c>
      <c r="I791" s="211">
        <v>2.3658536585365901</v>
      </c>
      <c r="J791" s="211">
        <v>-0.40792864421284702</v>
      </c>
      <c r="K791" s="288">
        <v>-121.15480733121601</v>
      </c>
    </row>
    <row r="792" spans="2:11" x14ac:dyDescent="0.2">
      <c r="B792">
        <v>10</v>
      </c>
      <c r="C792">
        <v>2261</v>
      </c>
      <c r="D792" s="308" t="s">
        <v>1364</v>
      </c>
      <c r="E792" s="291">
        <v>175</v>
      </c>
      <c r="F792" s="291">
        <v>47</v>
      </c>
      <c r="G792" s="291">
        <v>95</v>
      </c>
      <c r="H792" s="287">
        <v>0.26857142857142902</v>
      </c>
      <c r="I792" s="211">
        <v>2.3368421052631598</v>
      </c>
      <c r="J792" s="211">
        <v>-0.46052116365031898</v>
      </c>
      <c r="K792" s="288">
        <v>-80.591203638805894</v>
      </c>
    </row>
    <row r="793" spans="2:11" x14ac:dyDescent="0.2">
      <c r="B793">
        <v>10</v>
      </c>
      <c r="C793">
        <v>2262</v>
      </c>
      <c r="D793" s="308" t="s">
        <v>1365</v>
      </c>
      <c r="E793" s="291">
        <v>4181</v>
      </c>
      <c r="F793" s="291">
        <v>814</v>
      </c>
      <c r="G793" s="291">
        <v>1717</v>
      </c>
      <c r="H793" s="287">
        <v>0.19469026548672599</v>
      </c>
      <c r="I793" s="211">
        <v>2.9091438555620299</v>
      </c>
      <c r="J793" s="211">
        <v>-0.37812437104961</v>
      </c>
      <c r="K793" s="288">
        <v>-1580.93799535842</v>
      </c>
    </row>
    <row r="794" spans="2:11" x14ac:dyDescent="0.2">
      <c r="B794">
        <v>10</v>
      </c>
      <c r="C794">
        <v>2265</v>
      </c>
      <c r="D794" s="308" t="s">
        <v>1366</v>
      </c>
      <c r="E794" s="291">
        <v>4911</v>
      </c>
      <c r="F794" s="291">
        <v>2514</v>
      </c>
      <c r="G794" s="291">
        <v>1220</v>
      </c>
      <c r="H794" s="287">
        <v>0.51191203420891895</v>
      </c>
      <c r="I794" s="211">
        <v>6.0860655737704903</v>
      </c>
      <c r="J794" s="211">
        <v>0.15876902314493699</v>
      </c>
      <c r="K794" s="288">
        <v>779.71467266478601</v>
      </c>
    </row>
    <row r="795" spans="2:11" x14ac:dyDescent="0.2">
      <c r="B795">
        <v>10</v>
      </c>
      <c r="C795">
        <v>2266</v>
      </c>
      <c r="D795" s="308" t="s">
        <v>1367</v>
      </c>
      <c r="E795" s="291">
        <v>641</v>
      </c>
      <c r="F795" s="291">
        <v>129</v>
      </c>
      <c r="G795" s="291">
        <v>290</v>
      </c>
      <c r="H795" s="287">
        <v>0.20124804992199699</v>
      </c>
      <c r="I795" s="211">
        <v>2.6551724137931001</v>
      </c>
      <c r="J795" s="211">
        <v>-0.51452592168840805</v>
      </c>
      <c r="K795" s="288">
        <v>-329.81111580227002</v>
      </c>
    </row>
    <row r="796" spans="2:11" x14ac:dyDescent="0.2">
      <c r="B796">
        <v>10</v>
      </c>
      <c r="C796">
        <v>2271</v>
      </c>
      <c r="D796" s="308" t="s">
        <v>1368</v>
      </c>
      <c r="E796" s="291">
        <v>580</v>
      </c>
      <c r="F796" s="291">
        <v>132</v>
      </c>
      <c r="G796" s="291">
        <v>32</v>
      </c>
      <c r="H796" s="287">
        <v>0.22758620689655201</v>
      </c>
      <c r="I796" s="211">
        <v>22.25</v>
      </c>
      <c r="J796" s="211">
        <v>0.23070189098893701</v>
      </c>
      <c r="K796" s="288">
        <v>133.807096773583</v>
      </c>
    </row>
    <row r="797" spans="2:11" x14ac:dyDescent="0.2">
      <c r="B797">
        <v>10</v>
      </c>
      <c r="C797">
        <v>2272</v>
      </c>
      <c r="D797" s="308" t="s">
        <v>1369</v>
      </c>
      <c r="E797" s="291">
        <v>1909</v>
      </c>
      <c r="F797" s="291">
        <v>392</v>
      </c>
      <c r="G797" s="291">
        <v>1136</v>
      </c>
      <c r="H797" s="287">
        <v>0.20534311157674201</v>
      </c>
      <c r="I797" s="211">
        <v>2.0255281690140801</v>
      </c>
      <c r="J797" s="211">
        <v>-0.483974559765882</v>
      </c>
      <c r="K797" s="288">
        <v>-923.90743459306896</v>
      </c>
    </row>
    <row r="798" spans="2:11" x14ac:dyDescent="0.2">
      <c r="B798">
        <v>10</v>
      </c>
      <c r="C798">
        <v>2274</v>
      </c>
      <c r="D798" s="308" t="s">
        <v>1370</v>
      </c>
      <c r="E798" s="291">
        <v>953</v>
      </c>
      <c r="F798" s="291">
        <v>459</v>
      </c>
      <c r="G798" s="291">
        <v>110</v>
      </c>
      <c r="H798" s="287">
        <v>0.48163693599160501</v>
      </c>
      <c r="I798" s="211">
        <v>12.8363636363636</v>
      </c>
      <c r="J798" s="211">
        <v>0.216306131384986</v>
      </c>
      <c r="K798" s="288">
        <v>206.139743209892</v>
      </c>
    </row>
    <row r="799" spans="2:11" x14ac:dyDescent="0.2">
      <c r="B799">
        <v>10</v>
      </c>
      <c r="C799">
        <v>2275</v>
      </c>
      <c r="D799" s="308" t="s">
        <v>1371</v>
      </c>
      <c r="E799" s="291">
        <v>8168</v>
      </c>
      <c r="F799" s="291">
        <v>4737</v>
      </c>
      <c r="G799" s="291">
        <v>2470</v>
      </c>
      <c r="H799" s="287">
        <v>0.57994613124387895</v>
      </c>
      <c r="I799" s="211">
        <v>5.2246963562752997</v>
      </c>
      <c r="J799" s="211">
        <v>0.336095447265787</v>
      </c>
      <c r="K799" s="288">
        <v>2745.2276132669499</v>
      </c>
    </row>
    <row r="800" spans="2:11" x14ac:dyDescent="0.2">
      <c r="B800">
        <v>10</v>
      </c>
      <c r="C800">
        <v>2276</v>
      </c>
      <c r="D800" s="308" t="s">
        <v>1372</v>
      </c>
      <c r="E800" s="291">
        <v>1159</v>
      </c>
      <c r="F800" s="291">
        <v>766</v>
      </c>
      <c r="G800" s="291">
        <v>751</v>
      </c>
      <c r="H800" s="287">
        <v>0.66091458153580696</v>
      </c>
      <c r="I800" s="211">
        <v>2.5632490013315601</v>
      </c>
      <c r="J800" s="211">
        <v>7.1515025485054104E-2</v>
      </c>
      <c r="K800" s="288">
        <v>82.885914537177698</v>
      </c>
    </row>
    <row r="801" spans="2:11" x14ac:dyDescent="0.2">
      <c r="B801">
        <v>10</v>
      </c>
      <c r="C801">
        <v>2278</v>
      </c>
      <c r="D801" s="308" t="s">
        <v>1373</v>
      </c>
      <c r="E801" s="291">
        <v>424</v>
      </c>
      <c r="F801" s="291">
        <v>163</v>
      </c>
      <c r="G801" s="291">
        <v>285</v>
      </c>
      <c r="H801" s="287">
        <v>0.384433962264151</v>
      </c>
      <c r="I801" s="211">
        <v>2.0596491228070199</v>
      </c>
      <c r="J801" s="211">
        <v>-0.31754775041508099</v>
      </c>
      <c r="K801" s="288">
        <v>-134.64024617599401</v>
      </c>
    </row>
    <row r="802" spans="2:11" x14ac:dyDescent="0.2">
      <c r="B802">
        <v>10</v>
      </c>
      <c r="C802">
        <v>2284</v>
      </c>
      <c r="D802" s="308" t="s">
        <v>1374</v>
      </c>
      <c r="E802" s="291">
        <v>3556</v>
      </c>
      <c r="F802" s="291">
        <v>1139</v>
      </c>
      <c r="G802" s="291">
        <v>1696</v>
      </c>
      <c r="H802" s="287">
        <v>0.320303712035996</v>
      </c>
      <c r="I802" s="211">
        <v>2.7682783018867898</v>
      </c>
      <c r="J802" s="211">
        <v>-0.25148911841650901</v>
      </c>
      <c r="K802" s="288">
        <v>-894.295305089105</v>
      </c>
    </row>
    <row r="803" spans="2:11" x14ac:dyDescent="0.2">
      <c r="B803">
        <v>10</v>
      </c>
      <c r="C803">
        <v>2291</v>
      </c>
      <c r="D803" s="308" t="s">
        <v>1375</v>
      </c>
      <c r="E803" s="291">
        <v>2037</v>
      </c>
      <c r="F803" s="291">
        <v>560</v>
      </c>
      <c r="G803" s="291">
        <v>1603</v>
      </c>
      <c r="H803" s="287">
        <v>0.274914089347079</v>
      </c>
      <c r="I803" s="211">
        <v>1.62008733624454</v>
      </c>
      <c r="J803" s="211">
        <v>-0.40766647787807703</v>
      </c>
      <c r="K803" s="288">
        <v>-830.41661543764405</v>
      </c>
    </row>
    <row r="804" spans="2:11" x14ac:dyDescent="0.2">
      <c r="B804">
        <v>10</v>
      </c>
      <c r="C804">
        <v>2292</v>
      </c>
      <c r="D804" s="308" t="s">
        <v>1376</v>
      </c>
      <c r="E804" s="291">
        <v>648</v>
      </c>
      <c r="F804" s="291">
        <v>68</v>
      </c>
      <c r="G804" s="291">
        <v>327</v>
      </c>
      <c r="H804" s="287">
        <v>0.104938271604938</v>
      </c>
      <c r="I804" s="211">
        <v>2.18960244648318</v>
      </c>
      <c r="J804" s="211">
        <v>-0.65058849532829399</v>
      </c>
      <c r="K804" s="288">
        <v>-421.581344972735</v>
      </c>
    </row>
    <row r="805" spans="2:11" x14ac:dyDescent="0.2">
      <c r="B805">
        <v>10</v>
      </c>
      <c r="C805">
        <v>2293</v>
      </c>
      <c r="D805" s="308" t="s">
        <v>1377</v>
      </c>
      <c r="E805" s="291">
        <v>7825</v>
      </c>
      <c r="F805" s="291">
        <v>3870</v>
      </c>
      <c r="G805" s="291">
        <v>2875</v>
      </c>
      <c r="H805" s="287">
        <v>0.49456869009584697</v>
      </c>
      <c r="I805" s="211">
        <v>4.0678260869565204</v>
      </c>
      <c r="J805" s="211">
        <v>0.17498428673715799</v>
      </c>
      <c r="K805" s="288">
        <v>1369.25204371826</v>
      </c>
    </row>
    <row r="806" spans="2:11" x14ac:dyDescent="0.2">
      <c r="B806">
        <v>10</v>
      </c>
      <c r="C806">
        <v>2294</v>
      </c>
      <c r="D806" s="308" t="s">
        <v>1378</v>
      </c>
      <c r="E806" s="291">
        <v>1561</v>
      </c>
      <c r="F806" s="291">
        <v>372</v>
      </c>
      <c r="G806" s="291">
        <v>510</v>
      </c>
      <c r="H806" s="287">
        <v>0.23830877642536799</v>
      </c>
      <c r="I806" s="211">
        <v>3.7901960784313702</v>
      </c>
      <c r="J806" s="211">
        <v>-0.39203731568072597</v>
      </c>
      <c r="K806" s="288">
        <v>-611.97024977761396</v>
      </c>
    </row>
    <row r="807" spans="2:11" x14ac:dyDescent="0.2">
      <c r="B807">
        <v>10</v>
      </c>
      <c r="C807">
        <v>2295</v>
      </c>
      <c r="D807" s="308" t="s">
        <v>1379</v>
      </c>
      <c r="E807" s="291">
        <v>3412</v>
      </c>
      <c r="F807" s="291">
        <v>1059</v>
      </c>
      <c r="G807" s="291">
        <v>1418</v>
      </c>
      <c r="H807" s="287">
        <v>0.31037514654161802</v>
      </c>
      <c r="I807" s="211">
        <v>3.1530324400564198</v>
      </c>
      <c r="J807" s="211">
        <v>-0.25525657104606903</v>
      </c>
      <c r="K807" s="288">
        <v>-870.93542040918805</v>
      </c>
    </row>
    <row r="808" spans="2:11" x14ac:dyDescent="0.2">
      <c r="B808">
        <v>10</v>
      </c>
      <c r="C808">
        <v>2296</v>
      </c>
      <c r="D808" s="308" t="s">
        <v>1380</v>
      </c>
      <c r="E808" s="291">
        <v>1365</v>
      </c>
      <c r="F808" s="291">
        <v>321</v>
      </c>
      <c r="G808" s="291">
        <v>900</v>
      </c>
      <c r="H808" s="287">
        <v>0.235164835164835</v>
      </c>
      <c r="I808" s="211">
        <v>1.87333333333333</v>
      </c>
      <c r="J808" s="211">
        <v>-0.473359360137239</v>
      </c>
      <c r="K808" s="288">
        <v>-646.13552658733101</v>
      </c>
    </row>
    <row r="809" spans="2:11" x14ac:dyDescent="0.2">
      <c r="B809">
        <v>10</v>
      </c>
      <c r="C809">
        <v>2299</v>
      </c>
      <c r="D809" s="308" t="s">
        <v>1381</v>
      </c>
      <c r="E809" s="291">
        <v>3566</v>
      </c>
      <c r="F809" s="291">
        <v>1603</v>
      </c>
      <c r="G809" s="291">
        <v>6072</v>
      </c>
      <c r="H809" s="287">
        <v>0.449523275378575</v>
      </c>
      <c r="I809" s="211">
        <v>0.85128458498023696</v>
      </c>
      <c r="J809" s="211">
        <v>-0.16092468114961</v>
      </c>
      <c r="K809" s="288">
        <v>-573.85741297950904</v>
      </c>
    </row>
    <row r="810" spans="2:11" x14ac:dyDescent="0.2">
      <c r="B810">
        <v>10</v>
      </c>
      <c r="C810">
        <v>2300</v>
      </c>
      <c r="D810" s="308" t="s">
        <v>1382</v>
      </c>
      <c r="E810" s="291">
        <v>1040</v>
      </c>
      <c r="F810" s="291">
        <v>153</v>
      </c>
      <c r="G810" s="291">
        <v>1769</v>
      </c>
      <c r="H810" s="287">
        <v>0.14711538461538501</v>
      </c>
      <c r="I810" s="211">
        <v>0.67439231204070105</v>
      </c>
      <c r="J810" s="211">
        <v>-0.638628768457564</v>
      </c>
      <c r="K810" s="288">
        <v>-664.17391919586703</v>
      </c>
    </row>
    <row r="811" spans="2:11" x14ac:dyDescent="0.2">
      <c r="B811">
        <v>10</v>
      </c>
      <c r="C811">
        <v>2301</v>
      </c>
      <c r="D811" s="308" t="s">
        <v>1383</v>
      </c>
      <c r="E811" s="291">
        <v>1068</v>
      </c>
      <c r="F811" s="291">
        <v>198</v>
      </c>
      <c r="G811" s="291">
        <v>722</v>
      </c>
      <c r="H811" s="287">
        <v>0.185393258426966</v>
      </c>
      <c r="I811" s="211">
        <v>1.75346260387812</v>
      </c>
      <c r="J811" s="211">
        <v>-0.55075623418199804</v>
      </c>
      <c r="K811" s="288">
        <v>-588.20765810637397</v>
      </c>
    </row>
    <row r="812" spans="2:11" x14ac:dyDescent="0.2">
      <c r="B812">
        <v>10</v>
      </c>
      <c r="C812">
        <v>2302</v>
      </c>
      <c r="D812" s="308" t="s">
        <v>1384</v>
      </c>
      <c r="E812" s="291">
        <v>2044</v>
      </c>
      <c r="F812" s="291">
        <v>528</v>
      </c>
      <c r="G812" s="291">
        <v>1663</v>
      </c>
      <c r="H812" s="287">
        <v>0.25831702544031299</v>
      </c>
      <c r="I812" s="211">
        <v>1.5466025255562199</v>
      </c>
      <c r="J812" s="211">
        <v>-0.43064660650458197</v>
      </c>
      <c r="K812" s="288">
        <v>-880.24166369536601</v>
      </c>
    </row>
    <row r="813" spans="2:11" x14ac:dyDescent="0.2">
      <c r="B813">
        <v>10</v>
      </c>
      <c r="C813">
        <v>2303</v>
      </c>
      <c r="D813" s="308" t="s">
        <v>1385</v>
      </c>
      <c r="E813" s="291">
        <v>986</v>
      </c>
      <c r="F813" s="291">
        <v>163</v>
      </c>
      <c r="G813" s="291">
        <v>688</v>
      </c>
      <c r="H813" s="287">
        <v>0.16531440162271799</v>
      </c>
      <c r="I813" s="211">
        <v>1.6700581395348799</v>
      </c>
      <c r="J813" s="211">
        <v>-0.58181343911843297</v>
      </c>
      <c r="K813" s="288">
        <v>-573.66805097077497</v>
      </c>
    </row>
    <row r="814" spans="2:11" x14ac:dyDescent="0.2">
      <c r="B814">
        <v>10</v>
      </c>
      <c r="C814">
        <v>2304</v>
      </c>
      <c r="D814" s="308" t="s">
        <v>1386</v>
      </c>
      <c r="E814" s="291">
        <v>1319</v>
      </c>
      <c r="F814" s="291">
        <v>379</v>
      </c>
      <c r="G814" s="291">
        <v>1565</v>
      </c>
      <c r="H814" s="287">
        <v>0.28733889310083399</v>
      </c>
      <c r="I814" s="211">
        <v>1.0849840255591101</v>
      </c>
      <c r="J814" s="211">
        <v>-0.43922785929646702</v>
      </c>
      <c r="K814" s="288">
        <v>-579.34154641203895</v>
      </c>
    </row>
    <row r="815" spans="2:11" x14ac:dyDescent="0.2">
      <c r="B815">
        <v>10</v>
      </c>
      <c r="C815">
        <v>2305</v>
      </c>
      <c r="D815" s="308" t="s">
        <v>1387</v>
      </c>
      <c r="E815" s="291">
        <v>4072</v>
      </c>
      <c r="F815" s="291">
        <v>1539</v>
      </c>
      <c r="G815" s="291">
        <v>1344</v>
      </c>
      <c r="H815" s="287">
        <v>0.37794695481335999</v>
      </c>
      <c r="I815" s="211">
        <v>4.1748511904761898</v>
      </c>
      <c r="J815" s="211">
        <v>-0.109024492873047</v>
      </c>
      <c r="K815" s="288">
        <v>-443.94773497904902</v>
      </c>
    </row>
    <row r="816" spans="2:11" x14ac:dyDescent="0.2">
      <c r="B816">
        <v>10</v>
      </c>
      <c r="C816">
        <v>2306</v>
      </c>
      <c r="D816" s="308" t="s">
        <v>1388</v>
      </c>
      <c r="E816" s="291">
        <v>3330</v>
      </c>
      <c r="F816" s="291">
        <v>1860</v>
      </c>
      <c r="G816" s="291">
        <v>840</v>
      </c>
      <c r="H816" s="287">
        <v>0.55855855855855896</v>
      </c>
      <c r="I816" s="211">
        <v>6.1785714285714297</v>
      </c>
      <c r="J816" s="211">
        <v>0.159537647537635</v>
      </c>
      <c r="K816" s="288">
        <v>531.26036630032297</v>
      </c>
    </row>
    <row r="817" spans="2:11" x14ac:dyDescent="0.2">
      <c r="B817">
        <v>10</v>
      </c>
      <c r="C817">
        <v>2307</v>
      </c>
      <c r="D817" s="308" t="s">
        <v>1389</v>
      </c>
      <c r="E817" s="291">
        <v>1323</v>
      </c>
      <c r="F817" s="291">
        <v>380</v>
      </c>
      <c r="G817" s="291">
        <v>357</v>
      </c>
      <c r="H817" s="287">
        <v>0.28722600151171601</v>
      </c>
      <c r="I817" s="211">
        <v>4.7703081232492996</v>
      </c>
      <c r="J817" s="211">
        <v>-0.30475510949764001</v>
      </c>
      <c r="K817" s="288">
        <v>-403.19100986537802</v>
      </c>
    </row>
    <row r="818" spans="2:11" x14ac:dyDescent="0.2">
      <c r="B818">
        <v>10</v>
      </c>
      <c r="C818">
        <v>2308</v>
      </c>
      <c r="D818" s="308" t="s">
        <v>1390</v>
      </c>
      <c r="E818" s="291">
        <v>2343</v>
      </c>
      <c r="F818" s="291">
        <v>510</v>
      </c>
      <c r="G818" s="291">
        <v>1587</v>
      </c>
      <c r="H818" s="287">
        <v>0.21766965428937299</v>
      </c>
      <c r="I818" s="211">
        <v>1.7977315689981099</v>
      </c>
      <c r="J818" s="211">
        <v>-0.46042824571421997</v>
      </c>
      <c r="K818" s="288">
        <v>-1078.7833797084199</v>
      </c>
    </row>
    <row r="819" spans="2:11" x14ac:dyDescent="0.2">
      <c r="B819">
        <v>10</v>
      </c>
      <c r="C819">
        <v>2309</v>
      </c>
      <c r="D819" s="308" t="s">
        <v>1391</v>
      </c>
      <c r="E819" s="291">
        <v>5470</v>
      </c>
      <c r="F819" s="291">
        <v>2348</v>
      </c>
      <c r="G819" s="291">
        <v>1315</v>
      </c>
      <c r="H819" s="287">
        <v>0.42925045703839099</v>
      </c>
      <c r="I819" s="211">
        <v>5.9452471482889697</v>
      </c>
      <c r="J819" s="211">
        <v>7.2559064624287795E-2</v>
      </c>
      <c r="K819" s="288">
        <v>396.89808349485401</v>
      </c>
    </row>
    <row r="820" spans="2:11" x14ac:dyDescent="0.2">
      <c r="B820">
        <v>10</v>
      </c>
      <c r="C820">
        <v>2321</v>
      </c>
      <c r="D820" s="308" t="s">
        <v>1392</v>
      </c>
      <c r="E820" s="291">
        <v>3353</v>
      </c>
      <c r="F820" s="291">
        <v>693</v>
      </c>
      <c r="G820" s="291">
        <v>978</v>
      </c>
      <c r="H820" s="287">
        <v>0.20668058455114799</v>
      </c>
      <c r="I820" s="211">
        <v>4.1370143149284297</v>
      </c>
      <c r="J820" s="211">
        <v>-0.35010473354123101</v>
      </c>
      <c r="K820" s="288">
        <v>-1173.90117156375</v>
      </c>
    </row>
    <row r="821" spans="2:11" x14ac:dyDescent="0.2">
      <c r="B821">
        <v>10</v>
      </c>
      <c r="C821">
        <v>2323</v>
      </c>
      <c r="D821" s="308" t="s">
        <v>1393</v>
      </c>
      <c r="E821" s="291">
        <v>1475</v>
      </c>
      <c r="F821" s="291">
        <v>404</v>
      </c>
      <c r="G821" s="291">
        <v>410</v>
      </c>
      <c r="H821" s="287">
        <v>0.273898305084746</v>
      </c>
      <c r="I821" s="211">
        <v>4.5829268292682901</v>
      </c>
      <c r="J821" s="211">
        <v>-0.32229911855356602</v>
      </c>
      <c r="K821" s="288">
        <v>-475.391199866509</v>
      </c>
    </row>
    <row r="822" spans="2:11" x14ac:dyDescent="0.2">
      <c r="B822">
        <v>10</v>
      </c>
      <c r="C822">
        <v>2325</v>
      </c>
      <c r="D822" s="308" t="s">
        <v>1394</v>
      </c>
      <c r="E822" s="291">
        <v>6528</v>
      </c>
      <c r="F822" s="291">
        <v>3546</v>
      </c>
      <c r="G822" s="291">
        <v>4596</v>
      </c>
      <c r="H822" s="287">
        <v>0.54319852941176505</v>
      </c>
      <c r="I822" s="211">
        <v>2.1919060052219299</v>
      </c>
      <c r="J822" s="211">
        <v>0.117243630551568</v>
      </c>
      <c r="K822" s="288">
        <v>765.36642024063894</v>
      </c>
    </row>
    <row r="823" spans="2:11" x14ac:dyDescent="0.2">
      <c r="B823">
        <v>10</v>
      </c>
      <c r="C823">
        <v>2328</v>
      </c>
      <c r="D823" s="308" t="s">
        <v>1395</v>
      </c>
      <c r="E823" s="291">
        <v>847</v>
      </c>
      <c r="F823" s="291">
        <v>200</v>
      </c>
      <c r="G823" s="291">
        <v>447</v>
      </c>
      <c r="H823" s="287">
        <v>0.23612750885478201</v>
      </c>
      <c r="I823" s="211">
        <v>2.3422818791946298</v>
      </c>
      <c r="J823" s="211">
        <v>-0.47484927104747199</v>
      </c>
      <c r="K823" s="288">
        <v>-402.19733257720799</v>
      </c>
    </row>
    <row r="824" spans="2:11" x14ac:dyDescent="0.2">
      <c r="B824">
        <v>10</v>
      </c>
      <c r="C824">
        <v>2333</v>
      </c>
      <c r="D824" s="308" t="s">
        <v>1396</v>
      </c>
      <c r="E824" s="291">
        <v>1086</v>
      </c>
      <c r="F824" s="291">
        <v>233</v>
      </c>
      <c r="G824" s="291">
        <v>590</v>
      </c>
      <c r="H824" s="287">
        <v>0.21454880294659301</v>
      </c>
      <c r="I824" s="211">
        <v>2.2355932203389801</v>
      </c>
      <c r="J824" s="211">
        <v>-0.496349324109635</v>
      </c>
      <c r="K824" s="288">
        <v>-539.03536598306403</v>
      </c>
    </row>
    <row r="825" spans="2:11" x14ac:dyDescent="0.2">
      <c r="B825">
        <v>10</v>
      </c>
      <c r="C825">
        <v>2335</v>
      </c>
      <c r="D825" s="308" t="s">
        <v>1397</v>
      </c>
      <c r="E825" s="291">
        <v>1015</v>
      </c>
      <c r="F825" s="291">
        <v>200</v>
      </c>
      <c r="G825" s="291">
        <v>971</v>
      </c>
      <c r="H825" s="287">
        <v>0.197044334975369</v>
      </c>
      <c r="I825" s="211">
        <v>1.25128733264676</v>
      </c>
      <c r="J825" s="211">
        <v>-0.55666570714500996</v>
      </c>
      <c r="K825" s="288">
        <v>-565.01569275218503</v>
      </c>
    </row>
    <row r="826" spans="2:11" x14ac:dyDescent="0.2">
      <c r="B826">
        <v>10</v>
      </c>
      <c r="C826">
        <v>2336</v>
      </c>
      <c r="D826" s="308" t="s">
        <v>1398</v>
      </c>
      <c r="E826" s="291">
        <v>1435</v>
      </c>
      <c r="F826" s="291">
        <v>365</v>
      </c>
      <c r="G826" s="291">
        <v>2883</v>
      </c>
      <c r="H826" s="287">
        <v>0.25435540069686402</v>
      </c>
      <c r="I826" s="211">
        <v>0.62434963579604597</v>
      </c>
      <c r="J826" s="211">
        <v>-0.49247386201246002</v>
      </c>
      <c r="K826" s="288">
        <v>-706.69999198788003</v>
      </c>
    </row>
    <row r="827" spans="2:11" x14ac:dyDescent="0.2">
      <c r="B827">
        <v>10</v>
      </c>
      <c r="C827">
        <v>2337</v>
      </c>
      <c r="D827" s="308" t="s">
        <v>1399</v>
      </c>
      <c r="E827" s="291">
        <v>1186</v>
      </c>
      <c r="F827" s="291">
        <v>179</v>
      </c>
      <c r="G827" s="291">
        <v>953</v>
      </c>
      <c r="H827" s="287">
        <v>0.15092748735244499</v>
      </c>
      <c r="I827" s="211">
        <v>1.4323189926547699</v>
      </c>
      <c r="J827" s="211">
        <v>-0.60067325497388202</v>
      </c>
      <c r="K827" s="288">
        <v>-712.39848039902404</v>
      </c>
    </row>
    <row r="828" spans="2:11" x14ac:dyDescent="0.2">
      <c r="B828">
        <v>10</v>
      </c>
      <c r="C828">
        <v>2338</v>
      </c>
      <c r="D828" s="308" t="s">
        <v>1400</v>
      </c>
      <c r="E828" s="291">
        <v>1158</v>
      </c>
      <c r="F828" s="291">
        <v>272</v>
      </c>
      <c r="G828" s="291">
        <v>1335</v>
      </c>
      <c r="H828" s="287">
        <v>0.23488773747841099</v>
      </c>
      <c r="I828" s="211">
        <v>1.0711610486891401</v>
      </c>
      <c r="J828" s="211">
        <v>-0.51087950964380702</v>
      </c>
      <c r="K828" s="288">
        <v>-591.59847216752905</v>
      </c>
    </row>
    <row r="829" spans="2:11" x14ac:dyDescent="0.2">
      <c r="B829">
        <v>11</v>
      </c>
      <c r="C829">
        <v>2401</v>
      </c>
      <c r="D829" s="308" t="s">
        <v>1401</v>
      </c>
      <c r="E829" s="291">
        <v>3527</v>
      </c>
      <c r="F829" s="291">
        <v>3551</v>
      </c>
      <c r="G829" s="291">
        <v>691</v>
      </c>
      <c r="H829" s="287">
        <v>1.0068046498440599</v>
      </c>
      <c r="I829" s="211">
        <v>10.2431259044863</v>
      </c>
      <c r="J829" s="211">
        <v>0.87081150028725696</v>
      </c>
      <c r="K829" s="288">
        <v>3071.3521615131599</v>
      </c>
    </row>
    <row r="830" spans="2:11" x14ac:dyDescent="0.2">
      <c r="B830">
        <v>11</v>
      </c>
      <c r="C830">
        <v>2402</v>
      </c>
      <c r="D830" s="308" t="s">
        <v>1402</v>
      </c>
      <c r="E830" s="291">
        <v>1554</v>
      </c>
      <c r="F830" s="291">
        <v>3097</v>
      </c>
      <c r="G830" s="291">
        <v>551</v>
      </c>
      <c r="H830" s="287">
        <v>1.99292149292149</v>
      </c>
      <c r="I830" s="211">
        <v>8.4410163339382898</v>
      </c>
      <c r="J830" s="211">
        <v>1.9516345195190601</v>
      </c>
      <c r="K830" s="288">
        <v>3032.8400433326101</v>
      </c>
    </row>
    <row r="831" spans="2:11" x14ac:dyDescent="0.2">
      <c r="B831">
        <v>11</v>
      </c>
      <c r="C831">
        <v>2403</v>
      </c>
      <c r="D831" s="308" t="s">
        <v>1403</v>
      </c>
      <c r="E831" s="291">
        <v>1795</v>
      </c>
      <c r="F831" s="291">
        <v>635</v>
      </c>
      <c r="G831" s="291">
        <v>858</v>
      </c>
      <c r="H831" s="287">
        <v>0.35376044568245102</v>
      </c>
      <c r="I831" s="211">
        <v>2.8321678321678299</v>
      </c>
      <c r="J831" s="211">
        <v>-0.274986586756513</v>
      </c>
      <c r="K831" s="288">
        <v>-493.600923227941</v>
      </c>
    </row>
    <row r="832" spans="2:11" x14ac:dyDescent="0.2">
      <c r="B832">
        <v>11</v>
      </c>
      <c r="C832">
        <v>2404</v>
      </c>
      <c r="D832" s="308" t="s">
        <v>1404</v>
      </c>
      <c r="E832" s="291">
        <v>2089</v>
      </c>
      <c r="F832" s="291">
        <v>2101</v>
      </c>
      <c r="G832" s="291">
        <v>713</v>
      </c>
      <c r="H832" s="287">
        <v>1.0057443752991899</v>
      </c>
      <c r="I832" s="211">
        <v>5.8765778401122004</v>
      </c>
      <c r="J832" s="211">
        <v>0.65523803011645998</v>
      </c>
      <c r="K832" s="288">
        <v>1368.79224491328</v>
      </c>
    </row>
    <row r="833" spans="2:11" x14ac:dyDescent="0.2">
      <c r="B833">
        <v>11</v>
      </c>
      <c r="C833">
        <v>2405</v>
      </c>
      <c r="D833" s="308" t="s">
        <v>1405</v>
      </c>
      <c r="E833" s="291">
        <v>1142</v>
      </c>
      <c r="F833" s="291">
        <v>633</v>
      </c>
      <c r="G833" s="291">
        <v>547</v>
      </c>
      <c r="H833" s="287">
        <v>0.55429071803852903</v>
      </c>
      <c r="I833" s="211">
        <v>3.2449725776965299</v>
      </c>
      <c r="J833" s="211">
        <v>-3.6386180514529097E-2</v>
      </c>
      <c r="K833" s="288">
        <v>-41.553018147592198</v>
      </c>
    </row>
    <row r="834" spans="2:11" x14ac:dyDescent="0.2">
      <c r="B834">
        <v>11</v>
      </c>
      <c r="C834">
        <v>2406</v>
      </c>
      <c r="D834" s="308" t="s">
        <v>1406</v>
      </c>
      <c r="E834" s="291">
        <v>2173</v>
      </c>
      <c r="F834" s="291">
        <v>666</v>
      </c>
      <c r="G834" s="291">
        <v>931</v>
      </c>
      <c r="H834" s="287">
        <v>0.30648872526461102</v>
      </c>
      <c r="I834" s="211">
        <v>3.0494092373791601</v>
      </c>
      <c r="J834" s="211">
        <v>-0.311194731406364</v>
      </c>
      <c r="K834" s="288">
        <v>-676.22615134602802</v>
      </c>
    </row>
    <row r="835" spans="2:11" x14ac:dyDescent="0.2">
      <c r="B835">
        <v>11</v>
      </c>
      <c r="C835">
        <v>2407</v>
      </c>
      <c r="D835" s="308" t="s">
        <v>1407</v>
      </c>
      <c r="E835" s="291">
        <v>6263</v>
      </c>
      <c r="F835" s="291">
        <v>5325</v>
      </c>
      <c r="G835" s="291">
        <v>1192</v>
      </c>
      <c r="H835" s="287">
        <v>0.85023151844164102</v>
      </c>
      <c r="I835" s="211">
        <v>9.7214765100671094</v>
      </c>
      <c r="J835" s="211">
        <v>0.762300312910695</v>
      </c>
      <c r="K835" s="288">
        <v>4774.2868597596898</v>
      </c>
    </row>
    <row r="836" spans="2:11" x14ac:dyDescent="0.2">
      <c r="B836">
        <v>11</v>
      </c>
      <c r="C836">
        <v>2408</v>
      </c>
      <c r="D836" s="308" t="s">
        <v>1408</v>
      </c>
      <c r="E836" s="291">
        <v>2144</v>
      </c>
      <c r="F836" s="291">
        <v>622</v>
      </c>
      <c r="G836" s="291">
        <v>661</v>
      </c>
      <c r="H836" s="287">
        <v>0.29011194029850701</v>
      </c>
      <c r="I836" s="211">
        <v>4.1845688350983403</v>
      </c>
      <c r="J836" s="211">
        <v>-0.29117980083320399</v>
      </c>
      <c r="K836" s="288">
        <v>-624.28949298638895</v>
      </c>
    </row>
    <row r="837" spans="2:11" x14ac:dyDescent="0.2">
      <c r="B837">
        <v>11</v>
      </c>
      <c r="C837">
        <v>2421</v>
      </c>
      <c r="D837" s="308" t="s">
        <v>1409</v>
      </c>
      <c r="E837" s="291">
        <v>556</v>
      </c>
      <c r="F837" s="291">
        <v>187</v>
      </c>
      <c r="G837" s="291">
        <v>1291</v>
      </c>
      <c r="H837" s="287">
        <v>0.33633093525179902</v>
      </c>
      <c r="I837" s="211">
        <v>0.57552285050348595</v>
      </c>
      <c r="J837" s="211">
        <v>-0.42626029743211302</v>
      </c>
      <c r="K837" s="288">
        <v>-237.000725372255</v>
      </c>
    </row>
    <row r="838" spans="2:11" x14ac:dyDescent="0.2">
      <c r="B838">
        <v>11</v>
      </c>
      <c r="C838">
        <v>2422</v>
      </c>
      <c r="D838" s="308" t="s">
        <v>1410</v>
      </c>
      <c r="E838" s="291">
        <v>6099</v>
      </c>
      <c r="F838" s="291">
        <v>2711</v>
      </c>
      <c r="G838" s="291">
        <v>1550</v>
      </c>
      <c r="H838" s="287">
        <v>0.44449909821282202</v>
      </c>
      <c r="I838" s="211">
        <v>5.6838709677419397</v>
      </c>
      <c r="J838" s="211">
        <v>0.105952027021636</v>
      </c>
      <c r="K838" s="288">
        <v>646.20141280495795</v>
      </c>
    </row>
    <row r="839" spans="2:11" x14ac:dyDescent="0.2">
      <c r="B839">
        <v>11</v>
      </c>
      <c r="C839">
        <v>2423</v>
      </c>
      <c r="D839" s="308" t="s">
        <v>1411</v>
      </c>
      <c r="E839" s="291">
        <v>91</v>
      </c>
      <c r="F839" s="291">
        <v>38</v>
      </c>
      <c r="G839" s="291">
        <v>1142</v>
      </c>
      <c r="H839" s="287">
        <v>0.41758241758241799</v>
      </c>
      <c r="I839" s="211">
        <v>0.112959719789842</v>
      </c>
      <c r="J839" s="211">
        <v>-0.360220487183605</v>
      </c>
      <c r="K839" s="288">
        <v>-32.780064333708097</v>
      </c>
    </row>
    <row r="840" spans="2:11" x14ac:dyDescent="0.2">
      <c r="B840">
        <v>11</v>
      </c>
      <c r="C840">
        <v>2424</v>
      </c>
      <c r="D840" s="308" t="s">
        <v>1412</v>
      </c>
      <c r="E840" s="291">
        <v>541</v>
      </c>
      <c r="F840" s="291">
        <v>151</v>
      </c>
      <c r="G840" s="291">
        <v>1625</v>
      </c>
      <c r="H840" s="287">
        <v>0.27911275415896503</v>
      </c>
      <c r="I840" s="211">
        <v>0.42584615384615399</v>
      </c>
      <c r="J840" s="211">
        <v>-0.50319714303294105</v>
      </c>
      <c r="K840" s="288">
        <v>-272.22965438082099</v>
      </c>
    </row>
    <row r="841" spans="2:11" x14ac:dyDescent="0.2">
      <c r="B841">
        <v>11</v>
      </c>
      <c r="C841">
        <v>2425</v>
      </c>
      <c r="D841" s="308" t="s">
        <v>1413</v>
      </c>
      <c r="E841" s="291">
        <v>664</v>
      </c>
      <c r="F841" s="291">
        <v>221</v>
      </c>
      <c r="G841" s="291">
        <v>776</v>
      </c>
      <c r="H841" s="287">
        <v>0.33283132530120502</v>
      </c>
      <c r="I841" s="211">
        <v>1.14046391752577</v>
      </c>
      <c r="J841" s="211">
        <v>-0.40585827558557003</v>
      </c>
      <c r="K841" s="288">
        <v>-269.489894988819</v>
      </c>
    </row>
    <row r="842" spans="2:11" x14ac:dyDescent="0.2">
      <c r="B842">
        <v>11</v>
      </c>
      <c r="C842">
        <v>2426</v>
      </c>
      <c r="D842" s="308" t="s">
        <v>1414</v>
      </c>
      <c r="E842" s="291">
        <v>1729</v>
      </c>
      <c r="F842" s="291">
        <v>430</v>
      </c>
      <c r="G842" s="291">
        <v>1553</v>
      </c>
      <c r="H842" s="287">
        <v>0.248698669751301</v>
      </c>
      <c r="I842" s="211">
        <v>1.3902124919510599</v>
      </c>
      <c r="J842" s="211">
        <v>-0.46030723328786899</v>
      </c>
      <c r="K842" s="288">
        <v>-795.87120635472502</v>
      </c>
    </row>
    <row r="843" spans="2:11" x14ac:dyDescent="0.2">
      <c r="B843">
        <v>11</v>
      </c>
      <c r="C843">
        <v>2427</v>
      </c>
      <c r="D843" s="308" t="s">
        <v>1415</v>
      </c>
      <c r="E843" s="291">
        <v>1323</v>
      </c>
      <c r="F843" s="291">
        <v>425</v>
      </c>
      <c r="G843" s="291">
        <v>1126</v>
      </c>
      <c r="H843" s="287">
        <v>0.32123960695389298</v>
      </c>
      <c r="I843" s="211">
        <v>1.55239786856128</v>
      </c>
      <c r="J843" s="211">
        <v>-0.38001278256655202</v>
      </c>
      <c r="K843" s="288">
        <v>-502.75691133554801</v>
      </c>
    </row>
    <row r="844" spans="2:11" x14ac:dyDescent="0.2">
      <c r="B844">
        <v>11</v>
      </c>
      <c r="C844">
        <v>2428</v>
      </c>
      <c r="D844" s="308" t="s">
        <v>1416</v>
      </c>
      <c r="E844" s="291">
        <v>2456</v>
      </c>
      <c r="F844" s="291">
        <v>793</v>
      </c>
      <c r="G844" s="291">
        <v>3534</v>
      </c>
      <c r="H844" s="287">
        <v>0.32288273615635199</v>
      </c>
      <c r="I844" s="211">
        <v>0.91935483870967705</v>
      </c>
      <c r="J844" s="211">
        <v>-0.35778205118549</v>
      </c>
      <c r="K844" s="288">
        <v>-878.71271771156398</v>
      </c>
    </row>
    <row r="845" spans="2:11" x14ac:dyDescent="0.2">
      <c r="B845">
        <v>11</v>
      </c>
      <c r="C845">
        <v>2429</v>
      </c>
      <c r="D845" s="308" t="s">
        <v>1417</v>
      </c>
      <c r="E845" s="291">
        <v>1082</v>
      </c>
      <c r="F845" s="291">
        <v>283</v>
      </c>
      <c r="G845" s="291">
        <v>1284</v>
      </c>
      <c r="H845" s="287">
        <v>0.261552680221811</v>
      </c>
      <c r="I845" s="211">
        <v>1.06308411214953</v>
      </c>
      <c r="J845" s="211">
        <v>-0.481035876924154</v>
      </c>
      <c r="K845" s="288">
        <v>-520.48081883193504</v>
      </c>
    </row>
    <row r="846" spans="2:11" x14ac:dyDescent="0.2">
      <c r="B846">
        <v>11</v>
      </c>
      <c r="C846">
        <v>2445</v>
      </c>
      <c r="D846" s="308" t="s">
        <v>1418</v>
      </c>
      <c r="E846" s="291">
        <v>340</v>
      </c>
      <c r="F846" s="291">
        <v>79</v>
      </c>
      <c r="G846" s="291">
        <v>415</v>
      </c>
      <c r="H846" s="287">
        <v>0.23235294117647101</v>
      </c>
      <c r="I846" s="211">
        <v>1.00963855421687</v>
      </c>
      <c r="J846" s="211">
        <v>-0.54752054518633797</v>
      </c>
      <c r="K846" s="288">
        <v>-186.15698536335501</v>
      </c>
    </row>
    <row r="847" spans="2:11" x14ac:dyDescent="0.2">
      <c r="B847">
        <v>11</v>
      </c>
      <c r="C847">
        <v>2455</v>
      </c>
      <c r="D847" s="308" t="s">
        <v>1419</v>
      </c>
      <c r="E847" s="291">
        <v>783</v>
      </c>
      <c r="F847" s="291">
        <v>164</v>
      </c>
      <c r="G847" s="291">
        <v>437</v>
      </c>
      <c r="H847" s="287">
        <v>0.20945083014048499</v>
      </c>
      <c r="I847" s="211">
        <v>2.1670480549199098</v>
      </c>
      <c r="J847" s="211">
        <v>-0.51674490287593999</v>
      </c>
      <c r="K847" s="288">
        <v>-404.61125895186098</v>
      </c>
    </row>
    <row r="848" spans="2:11" x14ac:dyDescent="0.2">
      <c r="B848">
        <v>11</v>
      </c>
      <c r="C848">
        <v>2456</v>
      </c>
      <c r="D848" s="308" t="s">
        <v>1420</v>
      </c>
      <c r="E848" s="291">
        <v>327</v>
      </c>
      <c r="F848" s="291">
        <v>151</v>
      </c>
      <c r="G848" s="291">
        <v>310</v>
      </c>
      <c r="H848" s="287">
        <v>0.46177370030581</v>
      </c>
      <c r="I848" s="211">
        <v>1.54193548387097</v>
      </c>
      <c r="J848" s="211">
        <v>-0.24430632624061799</v>
      </c>
      <c r="K848" s="288">
        <v>-79.888168680682199</v>
      </c>
    </row>
    <row r="849" spans="2:11" x14ac:dyDescent="0.2">
      <c r="B849">
        <v>11</v>
      </c>
      <c r="C849">
        <v>2457</v>
      </c>
      <c r="D849" s="308" t="s">
        <v>1421</v>
      </c>
      <c r="E849" s="291">
        <v>1484</v>
      </c>
      <c r="F849" s="291">
        <v>404</v>
      </c>
      <c r="G849" s="291">
        <v>1185</v>
      </c>
      <c r="H849" s="287">
        <v>0.27223719676549901</v>
      </c>
      <c r="I849" s="211">
        <v>1.5932489451476799</v>
      </c>
      <c r="J849" s="211">
        <v>-0.43309262801585702</v>
      </c>
      <c r="K849" s="288">
        <v>-642.70945997553201</v>
      </c>
    </row>
    <row r="850" spans="2:11" x14ac:dyDescent="0.2">
      <c r="B850">
        <v>11</v>
      </c>
      <c r="C850">
        <v>2461</v>
      </c>
      <c r="D850" s="308" t="s">
        <v>1422</v>
      </c>
      <c r="E850" s="291">
        <v>1082</v>
      </c>
      <c r="F850" s="291">
        <v>307</v>
      </c>
      <c r="G850" s="291">
        <v>715</v>
      </c>
      <c r="H850" s="287">
        <v>0.283733826247689</v>
      </c>
      <c r="I850" s="211">
        <v>1.9426573426573399</v>
      </c>
      <c r="J850" s="211">
        <v>-0.42145838685051001</v>
      </c>
      <c r="K850" s="288">
        <v>-456.01797457225098</v>
      </c>
    </row>
    <row r="851" spans="2:11" x14ac:dyDescent="0.2">
      <c r="B851">
        <v>11</v>
      </c>
      <c r="C851">
        <v>2463</v>
      </c>
      <c r="D851" s="308" t="s">
        <v>1423</v>
      </c>
      <c r="E851" s="291">
        <v>207</v>
      </c>
      <c r="F851" s="291">
        <v>61</v>
      </c>
      <c r="G851" s="291">
        <v>153</v>
      </c>
      <c r="H851" s="287">
        <v>0.29468599033816401</v>
      </c>
      <c r="I851" s="211">
        <v>1.7516339869280999</v>
      </c>
      <c r="J851" s="211">
        <v>-0.44828966975547802</v>
      </c>
      <c r="K851" s="288">
        <v>-92.795961639383904</v>
      </c>
    </row>
    <row r="852" spans="2:11" x14ac:dyDescent="0.2">
      <c r="B852">
        <v>11</v>
      </c>
      <c r="C852">
        <v>2464</v>
      </c>
      <c r="D852" s="308" t="s">
        <v>1424</v>
      </c>
      <c r="E852" s="291">
        <v>1062</v>
      </c>
      <c r="F852" s="291">
        <v>483</v>
      </c>
      <c r="G852" s="291">
        <v>751</v>
      </c>
      <c r="H852" s="287">
        <v>0.45480225988700601</v>
      </c>
      <c r="I852" s="211">
        <v>2.0572569906790901</v>
      </c>
      <c r="J852" s="211">
        <v>-0.20605951466325301</v>
      </c>
      <c r="K852" s="288">
        <v>-218.83520457237501</v>
      </c>
    </row>
    <row r="853" spans="2:11" x14ac:dyDescent="0.2">
      <c r="B853">
        <v>11</v>
      </c>
      <c r="C853">
        <v>2465</v>
      </c>
      <c r="D853" s="308" t="s">
        <v>1425</v>
      </c>
      <c r="E853" s="291">
        <v>2532</v>
      </c>
      <c r="F853" s="291">
        <v>894</v>
      </c>
      <c r="G853" s="291">
        <v>2258</v>
      </c>
      <c r="H853" s="287">
        <v>0.35308056872037902</v>
      </c>
      <c r="I853" s="211">
        <v>1.51727192205492</v>
      </c>
      <c r="J853" s="211">
        <v>-0.29564293298890398</v>
      </c>
      <c r="K853" s="288">
        <v>-748.56790632790398</v>
      </c>
    </row>
    <row r="854" spans="2:11" x14ac:dyDescent="0.2">
      <c r="B854">
        <v>11</v>
      </c>
      <c r="C854">
        <v>2471</v>
      </c>
      <c r="D854" s="308" t="s">
        <v>1426</v>
      </c>
      <c r="E854" s="291">
        <v>1195</v>
      </c>
      <c r="F854" s="291">
        <v>523</v>
      </c>
      <c r="G854" s="291">
        <v>170</v>
      </c>
      <c r="H854" s="287">
        <v>0.43765690376569</v>
      </c>
      <c r="I854" s="211">
        <v>10.105882352941199</v>
      </c>
      <c r="J854" s="211">
        <v>7.1432175953773602E-2</v>
      </c>
      <c r="K854" s="288">
        <v>85.361450264759497</v>
      </c>
    </row>
    <row r="855" spans="2:11" x14ac:dyDescent="0.2">
      <c r="B855">
        <v>11</v>
      </c>
      <c r="C855">
        <v>2472</v>
      </c>
      <c r="D855" s="308" t="s">
        <v>1427</v>
      </c>
      <c r="E855" s="291">
        <v>1008</v>
      </c>
      <c r="F855" s="291">
        <v>183</v>
      </c>
      <c r="G855" s="291">
        <v>621</v>
      </c>
      <c r="H855" s="287">
        <v>0.18154761904761901</v>
      </c>
      <c r="I855" s="211">
        <v>1.91787439613527</v>
      </c>
      <c r="J855" s="211">
        <v>-0.55181558294809796</v>
      </c>
      <c r="K855" s="288">
        <v>-556.23010761168302</v>
      </c>
    </row>
    <row r="856" spans="2:11" x14ac:dyDescent="0.2">
      <c r="B856">
        <v>11</v>
      </c>
      <c r="C856">
        <v>2473</v>
      </c>
      <c r="D856" s="308" t="s">
        <v>1428</v>
      </c>
      <c r="E856" s="291">
        <v>6611</v>
      </c>
      <c r="F856" s="291">
        <v>2923</v>
      </c>
      <c r="G856" s="291">
        <v>572</v>
      </c>
      <c r="H856" s="287">
        <v>0.442141884737559</v>
      </c>
      <c r="I856" s="211">
        <v>16.667832167832199</v>
      </c>
      <c r="J856" s="211">
        <v>0.52334637091903102</v>
      </c>
      <c r="K856" s="288">
        <v>3459.8428581457101</v>
      </c>
    </row>
    <row r="857" spans="2:11" x14ac:dyDescent="0.2">
      <c r="B857">
        <v>11</v>
      </c>
      <c r="C857">
        <v>2474</v>
      </c>
      <c r="D857" s="308" t="s">
        <v>1429</v>
      </c>
      <c r="E857" s="291">
        <v>884</v>
      </c>
      <c r="F857" s="291">
        <v>559</v>
      </c>
      <c r="G857" s="291">
        <v>597</v>
      </c>
      <c r="H857" s="287">
        <v>0.63235294117647101</v>
      </c>
      <c r="I857" s="211">
        <v>2.4170854271356799</v>
      </c>
      <c r="J857" s="211">
        <v>2.0282052716381001E-2</v>
      </c>
      <c r="K857" s="288">
        <v>17.9293346012808</v>
      </c>
    </row>
    <row r="858" spans="2:11" x14ac:dyDescent="0.2">
      <c r="B858">
        <v>11</v>
      </c>
      <c r="C858">
        <v>2475</v>
      </c>
      <c r="D858" s="308" t="s">
        <v>1430</v>
      </c>
      <c r="E858" s="291">
        <v>1308</v>
      </c>
      <c r="F858" s="291">
        <v>250</v>
      </c>
      <c r="G858" s="291">
        <v>829</v>
      </c>
      <c r="H858" s="287">
        <v>0.19113149847094801</v>
      </c>
      <c r="I858" s="211">
        <v>1.8793727382388401</v>
      </c>
      <c r="J858" s="211">
        <v>-0.52988148316778405</v>
      </c>
      <c r="K858" s="288">
        <v>-693.08497998346195</v>
      </c>
    </row>
    <row r="859" spans="2:11" x14ac:dyDescent="0.2">
      <c r="B859">
        <v>11</v>
      </c>
      <c r="C859">
        <v>2476</v>
      </c>
      <c r="D859" s="308" t="s">
        <v>1431</v>
      </c>
      <c r="E859" s="291">
        <v>3183</v>
      </c>
      <c r="F859" s="291">
        <v>555</v>
      </c>
      <c r="G859" s="291">
        <v>751</v>
      </c>
      <c r="H859" s="287">
        <v>0.174363807728558</v>
      </c>
      <c r="I859" s="211">
        <v>4.9773635153129199</v>
      </c>
      <c r="J859" s="211">
        <v>-0.36598582222921899</v>
      </c>
      <c r="K859" s="288">
        <v>-1164.9328721556001</v>
      </c>
    </row>
    <row r="860" spans="2:11" x14ac:dyDescent="0.2">
      <c r="B860">
        <v>11</v>
      </c>
      <c r="C860">
        <v>2477</v>
      </c>
      <c r="D860" s="308" t="s">
        <v>1432</v>
      </c>
      <c r="E860" s="291">
        <v>934</v>
      </c>
      <c r="F860" s="291">
        <v>268</v>
      </c>
      <c r="G860" s="291">
        <v>850</v>
      </c>
      <c r="H860" s="287">
        <v>0.286937901498929</v>
      </c>
      <c r="I860" s="211">
        <v>1.4141176470588199</v>
      </c>
      <c r="J860" s="211">
        <v>-0.44242689200302898</v>
      </c>
      <c r="K860" s="288">
        <v>-413.226717130829</v>
      </c>
    </row>
    <row r="861" spans="2:11" x14ac:dyDescent="0.2">
      <c r="B861">
        <v>11</v>
      </c>
      <c r="C861">
        <v>2478</v>
      </c>
      <c r="D861" s="308" t="s">
        <v>1433</v>
      </c>
      <c r="E861" s="291">
        <v>1503</v>
      </c>
      <c r="F861" s="291">
        <v>211</v>
      </c>
      <c r="G861" s="291">
        <v>629</v>
      </c>
      <c r="H861" s="287">
        <v>0.140385894876913</v>
      </c>
      <c r="I861" s="211">
        <v>2.7249602543720202</v>
      </c>
      <c r="J861" s="211">
        <v>-0.55446133591015401</v>
      </c>
      <c r="K861" s="288">
        <v>-833.35538787296105</v>
      </c>
    </row>
    <row r="862" spans="2:11" x14ac:dyDescent="0.2">
      <c r="B862">
        <v>11</v>
      </c>
      <c r="C862">
        <v>2479</v>
      </c>
      <c r="D862" s="308" t="s">
        <v>1434</v>
      </c>
      <c r="E862" s="291">
        <v>1313</v>
      </c>
      <c r="F862" s="291">
        <v>164</v>
      </c>
      <c r="G862" s="291">
        <v>531</v>
      </c>
      <c r="H862" s="287">
        <v>0.12490479817212501</v>
      </c>
      <c r="I862" s="211">
        <v>2.7815442561205299</v>
      </c>
      <c r="J862" s="211">
        <v>-0.57884027626719603</v>
      </c>
      <c r="K862" s="288">
        <v>-760.01728273882804</v>
      </c>
    </row>
    <row r="863" spans="2:11" x14ac:dyDescent="0.2">
      <c r="B863">
        <v>11</v>
      </c>
      <c r="C863">
        <v>2480</v>
      </c>
      <c r="D863" s="308" t="s">
        <v>1435</v>
      </c>
      <c r="E863" s="291">
        <v>1017</v>
      </c>
      <c r="F863" s="291">
        <v>262</v>
      </c>
      <c r="G863" s="291">
        <v>1633</v>
      </c>
      <c r="H863" s="287">
        <v>0.25762045231071801</v>
      </c>
      <c r="I863" s="211">
        <v>0.78322106552357595</v>
      </c>
      <c r="J863" s="211">
        <v>-0.49860302876607798</v>
      </c>
      <c r="K863" s="288">
        <v>-507.07928025510199</v>
      </c>
    </row>
    <row r="864" spans="2:11" x14ac:dyDescent="0.2">
      <c r="B864">
        <v>11</v>
      </c>
      <c r="C864">
        <v>2481</v>
      </c>
      <c r="D864" s="308" t="s">
        <v>1436</v>
      </c>
      <c r="E864" s="291">
        <v>1486</v>
      </c>
      <c r="F864" s="291">
        <v>488</v>
      </c>
      <c r="G864" s="291">
        <v>264</v>
      </c>
      <c r="H864" s="287">
        <v>0.32839838492597601</v>
      </c>
      <c r="I864" s="211">
        <v>7.4772727272727302</v>
      </c>
      <c r="J864" s="211">
        <v>-0.14874346752456699</v>
      </c>
      <c r="K864" s="288">
        <v>-221.032792741507</v>
      </c>
    </row>
    <row r="865" spans="2:11" x14ac:dyDescent="0.2">
      <c r="B865">
        <v>11</v>
      </c>
      <c r="C865">
        <v>2491</v>
      </c>
      <c r="D865" s="308" t="s">
        <v>1437</v>
      </c>
      <c r="E865" s="291">
        <v>309</v>
      </c>
      <c r="F865" s="291">
        <v>85</v>
      </c>
      <c r="G865" s="291">
        <v>530</v>
      </c>
      <c r="H865" s="287">
        <v>0.27508090614886699</v>
      </c>
      <c r="I865" s="211">
        <v>0.74339622641509395</v>
      </c>
      <c r="J865" s="211">
        <v>-0.50547198214792799</v>
      </c>
      <c r="K865" s="288">
        <v>-156.19084248370999</v>
      </c>
    </row>
    <row r="866" spans="2:11" x14ac:dyDescent="0.2">
      <c r="B866">
        <v>11</v>
      </c>
      <c r="C866">
        <v>2492</v>
      </c>
      <c r="D866" s="308" t="s">
        <v>1438</v>
      </c>
      <c r="E866" s="291">
        <v>527</v>
      </c>
      <c r="F866" s="291">
        <v>116</v>
      </c>
      <c r="G866" s="291">
        <v>852</v>
      </c>
      <c r="H866" s="287">
        <v>0.22011385199240999</v>
      </c>
      <c r="I866" s="211">
        <v>0.75469483568075102</v>
      </c>
      <c r="J866" s="211">
        <v>-0.56484328861431998</v>
      </c>
      <c r="K866" s="288">
        <v>-297.67241309974702</v>
      </c>
    </row>
    <row r="867" spans="2:11" x14ac:dyDescent="0.2">
      <c r="B867">
        <v>11</v>
      </c>
      <c r="C867">
        <v>2493</v>
      </c>
      <c r="D867" s="308" t="s">
        <v>1439</v>
      </c>
      <c r="E867" s="291">
        <v>3942</v>
      </c>
      <c r="F867" s="291">
        <v>888</v>
      </c>
      <c r="G867" s="291">
        <v>1325</v>
      </c>
      <c r="H867" s="287">
        <v>0.225266362252664</v>
      </c>
      <c r="I867" s="211">
        <v>3.6452830188679202</v>
      </c>
      <c r="J867" s="211">
        <v>-0.322509443462493</v>
      </c>
      <c r="K867" s="288">
        <v>-1271.3322261291501</v>
      </c>
    </row>
    <row r="868" spans="2:11" x14ac:dyDescent="0.2">
      <c r="B868">
        <v>11</v>
      </c>
      <c r="C868">
        <v>2495</v>
      </c>
      <c r="D868" s="308" t="s">
        <v>1440</v>
      </c>
      <c r="E868" s="291">
        <v>3831</v>
      </c>
      <c r="F868" s="291">
        <v>1238</v>
      </c>
      <c r="G868" s="291">
        <v>402</v>
      </c>
      <c r="H868" s="287">
        <v>0.323153223701383</v>
      </c>
      <c r="I868" s="211">
        <v>12.609452736318399</v>
      </c>
      <c r="J868" s="211">
        <v>0.121606759561108</v>
      </c>
      <c r="K868" s="288">
        <v>465.875495878604</v>
      </c>
    </row>
    <row r="869" spans="2:11" x14ac:dyDescent="0.2">
      <c r="B869">
        <v>11</v>
      </c>
      <c r="C869">
        <v>2497</v>
      </c>
      <c r="D869" s="308" t="s">
        <v>1441</v>
      </c>
      <c r="E869" s="291">
        <v>2199</v>
      </c>
      <c r="F869" s="291">
        <v>463</v>
      </c>
      <c r="G869" s="291">
        <v>332</v>
      </c>
      <c r="H869" s="287">
        <v>0.210550250113688</v>
      </c>
      <c r="I869" s="211">
        <v>8.0180722891566294</v>
      </c>
      <c r="J869" s="211">
        <v>-0.24780211687947701</v>
      </c>
      <c r="K869" s="288">
        <v>-544.91685501796997</v>
      </c>
    </row>
    <row r="870" spans="2:11" x14ac:dyDescent="0.2">
      <c r="B870">
        <v>11</v>
      </c>
      <c r="C870">
        <v>2498</v>
      </c>
      <c r="D870" s="308" t="s">
        <v>1442</v>
      </c>
      <c r="E870" s="291">
        <v>95</v>
      </c>
      <c r="F870" s="291">
        <v>29</v>
      </c>
      <c r="G870" s="291">
        <v>222</v>
      </c>
      <c r="H870" s="287">
        <v>0.30526315789473701</v>
      </c>
      <c r="I870" s="211">
        <v>0.55855855855855896</v>
      </c>
      <c r="J870" s="211">
        <v>-0.48299188442160701</v>
      </c>
      <c r="K870" s="288">
        <v>-45.8842290200527</v>
      </c>
    </row>
    <row r="871" spans="2:11" x14ac:dyDescent="0.2">
      <c r="B871">
        <v>11</v>
      </c>
      <c r="C871">
        <v>2499</v>
      </c>
      <c r="D871" s="308" t="s">
        <v>1443</v>
      </c>
      <c r="E871" s="291">
        <v>1062</v>
      </c>
      <c r="F871" s="291">
        <v>210</v>
      </c>
      <c r="G871" s="291">
        <v>613</v>
      </c>
      <c r="H871" s="287">
        <v>0.19774011299434999</v>
      </c>
      <c r="I871" s="211">
        <v>2.0750407830342601</v>
      </c>
      <c r="J871" s="211">
        <v>-0.523952865856394</v>
      </c>
      <c r="K871" s="288">
        <v>-556.43794353948999</v>
      </c>
    </row>
    <row r="872" spans="2:11" x14ac:dyDescent="0.2">
      <c r="B872">
        <v>11</v>
      </c>
      <c r="C872">
        <v>2500</v>
      </c>
      <c r="D872" s="308" t="s">
        <v>1444</v>
      </c>
      <c r="E872" s="291">
        <v>6553</v>
      </c>
      <c r="F872" s="291">
        <v>1836</v>
      </c>
      <c r="G872" s="291">
        <v>755</v>
      </c>
      <c r="H872" s="287">
        <v>0.28017701815962198</v>
      </c>
      <c r="I872" s="211">
        <v>11.1112582781457</v>
      </c>
      <c r="J872" s="211">
        <v>0.117696431278415</v>
      </c>
      <c r="K872" s="288">
        <v>771.26471416745198</v>
      </c>
    </row>
    <row r="873" spans="2:11" x14ac:dyDescent="0.2">
      <c r="B873">
        <v>11</v>
      </c>
      <c r="C873">
        <v>2501</v>
      </c>
      <c r="D873" s="308" t="s">
        <v>1445</v>
      </c>
      <c r="E873" s="291">
        <v>1827</v>
      </c>
      <c r="F873" s="291">
        <v>328</v>
      </c>
      <c r="G873" s="291">
        <v>378</v>
      </c>
      <c r="H873" s="287">
        <v>0.17952928297755899</v>
      </c>
      <c r="I873" s="211">
        <v>5.7010582010582</v>
      </c>
      <c r="J873" s="211">
        <v>-0.38499284256996003</v>
      </c>
      <c r="K873" s="288">
        <v>-703.381923375317</v>
      </c>
    </row>
    <row r="874" spans="2:11" x14ac:dyDescent="0.2">
      <c r="B874">
        <v>11</v>
      </c>
      <c r="C874">
        <v>2502</v>
      </c>
      <c r="D874" s="308" t="s">
        <v>1446</v>
      </c>
      <c r="E874" s="291">
        <v>403</v>
      </c>
      <c r="F874" s="291">
        <v>92</v>
      </c>
      <c r="G874" s="291">
        <v>481</v>
      </c>
      <c r="H874" s="287">
        <v>0.22828784119106699</v>
      </c>
      <c r="I874" s="211">
        <v>1.0291060291060301</v>
      </c>
      <c r="J874" s="211">
        <v>-0.54944039997051897</v>
      </c>
      <c r="K874" s="288">
        <v>-221.42448118811899</v>
      </c>
    </row>
    <row r="875" spans="2:11" x14ac:dyDescent="0.2">
      <c r="B875">
        <v>11</v>
      </c>
      <c r="C875">
        <v>2503</v>
      </c>
      <c r="D875" s="308" t="s">
        <v>1447</v>
      </c>
      <c r="E875" s="291">
        <v>3447</v>
      </c>
      <c r="F875" s="291">
        <v>805</v>
      </c>
      <c r="G875" s="291">
        <v>863</v>
      </c>
      <c r="H875" s="287">
        <v>0.23353640847113399</v>
      </c>
      <c r="I875" s="211">
        <v>4.92699884125145</v>
      </c>
      <c r="J875" s="211">
        <v>-0.2844115222677</v>
      </c>
      <c r="K875" s="288">
        <v>-980.36651725675995</v>
      </c>
    </row>
    <row r="876" spans="2:11" x14ac:dyDescent="0.2">
      <c r="B876">
        <v>11</v>
      </c>
      <c r="C876">
        <v>2511</v>
      </c>
      <c r="D876" s="308" t="s">
        <v>1448</v>
      </c>
      <c r="E876" s="291">
        <v>1213</v>
      </c>
      <c r="F876" s="291">
        <v>207</v>
      </c>
      <c r="G876" s="291">
        <v>520</v>
      </c>
      <c r="H876" s="287">
        <v>0.170651277823578</v>
      </c>
      <c r="I876" s="211">
        <v>2.7307692307692299</v>
      </c>
      <c r="J876" s="211">
        <v>-0.52782636287086804</v>
      </c>
      <c r="K876" s="288">
        <v>-640.25337816236299</v>
      </c>
    </row>
    <row r="877" spans="2:11" x14ac:dyDescent="0.2">
      <c r="B877">
        <v>11</v>
      </c>
      <c r="C877">
        <v>2513</v>
      </c>
      <c r="D877" s="308" t="s">
        <v>1449</v>
      </c>
      <c r="E877" s="291">
        <v>8370</v>
      </c>
      <c r="F877" s="291">
        <v>3206</v>
      </c>
      <c r="G877" s="291">
        <v>1185</v>
      </c>
      <c r="H877" s="287">
        <v>0.38303464755077699</v>
      </c>
      <c r="I877" s="211">
        <v>9.7687763713080198</v>
      </c>
      <c r="J877" s="211">
        <v>0.26559979732598199</v>
      </c>
      <c r="K877" s="288">
        <v>2223.07030361847</v>
      </c>
    </row>
    <row r="878" spans="2:11" x14ac:dyDescent="0.2">
      <c r="B878">
        <v>11</v>
      </c>
      <c r="C878">
        <v>2514</v>
      </c>
      <c r="D878" s="308" t="s">
        <v>1450</v>
      </c>
      <c r="E878" s="291">
        <v>590</v>
      </c>
      <c r="F878" s="291">
        <v>60</v>
      </c>
      <c r="G878" s="291">
        <v>209</v>
      </c>
      <c r="H878" s="287">
        <v>0.101694915254237</v>
      </c>
      <c r="I878" s="211">
        <v>3.11004784688995</v>
      </c>
      <c r="J878" s="211">
        <v>-0.62324105686212306</v>
      </c>
      <c r="K878" s="288">
        <v>-367.71222354865301</v>
      </c>
    </row>
    <row r="879" spans="2:11" x14ac:dyDescent="0.2">
      <c r="B879">
        <v>11</v>
      </c>
      <c r="C879">
        <v>2516</v>
      </c>
      <c r="D879" s="308" t="s">
        <v>1451</v>
      </c>
      <c r="E879" s="291">
        <v>2224</v>
      </c>
      <c r="F879" s="291">
        <v>737</v>
      </c>
      <c r="G879" s="291">
        <v>752</v>
      </c>
      <c r="H879" s="287">
        <v>0.33138489208633098</v>
      </c>
      <c r="I879" s="211">
        <v>3.9375</v>
      </c>
      <c r="J879" s="211">
        <v>-0.245993438053728</v>
      </c>
      <c r="K879" s="288">
        <v>-547.08940623149101</v>
      </c>
    </row>
    <row r="880" spans="2:11" x14ac:dyDescent="0.2">
      <c r="B880">
        <v>11</v>
      </c>
      <c r="C880">
        <v>2517</v>
      </c>
      <c r="D880" s="308" t="s">
        <v>1452</v>
      </c>
      <c r="E880" s="291">
        <v>6437</v>
      </c>
      <c r="F880" s="291">
        <v>1885</v>
      </c>
      <c r="G880" s="291">
        <v>559</v>
      </c>
      <c r="H880" s="287">
        <v>0.292838278701258</v>
      </c>
      <c r="I880" s="211">
        <v>14.8872987477639</v>
      </c>
      <c r="J880" s="211">
        <v>0.26672312146719102</v>
      </c>
      <c r="K880" s="288">
        <v>1716.89673288431</v>
      </c>
    </row>
    <row r="881" spans="2:11" x14ac:dyDescent="0.2">
      <c r="B881">
        <v>11</v>
      </c>
      <c r="C881">
        <v>2518</v>
      </c>
      <c r="D881" s="308" t="s">
        <v>1453</v>
      </c>
      <c r="E881" s="291">
        <v>825</v>
      </c>
      <c r="F881" s="291">
        <v>438</v>
      </c>
      <c r="G881" s="291">
        <v>336</v>
      </c>
      <c r="H881" s="287">
        <v>0.530909090909091</v>
      </c>
      <c r="I881" s="211">
        <v>3.7589285714285698</v>
      </c>
      <c r="J881" s="211">
        <v>-5.87204669259343E-2</v>
      </c>
      <c r="K881" s="288">
        <v>-48.444385213895799</v>
      </c>
    </row>
    <row r="882" spans="2:11" x14ac:dyDescent="0.2">
      <c r="B882">
        <v>11</v>
      </c>
      <c r="C882">
        <v>2519</v>
      </c>
      <c r="D882" s="308" t="s">
        <v>1454</v>
      </c>
      <c r="E882" s="291">
        <v>5065</v>
      </c>
      <c r="F882" s="291">
        <v>1537</v>
      </c>
      <c r="G882" s="291">
        <v>185</v>
      </c>
      <c r="H882" s="287">
        <v>0.30345508390918102</v>
      </c>
      <c r="I882" s="211">
        <v>35.686486486486501</v>
      </c>
      <c r="J882" s="211">
        <v>0.986318310529535</v>
      </c>
      <c r="K882" s="288">
        <v>4995.7022428320897</v>
      </c>
    </row>
    <row r="883" spans="2:11" x14ac:dyDescent="0.2">
      <c r="B883">
        <v>11</v>
      </c>
      <c r="C883">
        <v>2520</v>
      </c>
      <c r="D883" s="308" t="s">
        <v>1455</v>
      </c>
      <c r="E883" s="291">
        <v>873</v>
      </c>
      <c r="F883" s="291">
        <v>159</v>
      </c>
      <c r="G883" s="291">
        <v>188</v>
      </c>
      <c r="H883" s="287">
        <v>0.18213058419243999</v>
      </c>
      <c r="I883" s="211">
        <v>5.4893617021276597</v>
      </c>
      <c r="J883" s="211">
        <v>-0.425945027310212</v>
      </c>
      <c r="K883" s="288">
        <v>-371.850008841815</v>
      </c>
    </row>
    <row r="884" spans="2:11" x14ac:dyDescent="0.2">
      <c r="B884">
        <v>11</v>
      </c>
      <c r="C884">
        <v>2523</v>
      </c>
      <c r="D884" s="308" t="s">
        <v>1456</v>
      </c>
      <c r="E884" s="291">
        <v>870</v>
      </c>
      <c r="F884" s="291">
        <v>209</v>
      </c>
      <c r="G884" s="291">
        <v>260</v>
      </c>
      <c r="H884" s="287">
        <v>0.240229885057471</v>
      </c>
      <c r="I884" s="211">
        <v>4.1500000000000004</v>
      </c>
      <c r="J884" s="211">
        <v>-0.40293197052595597</v>
      </c>
      <c r="K884" s="288">
        <v>-350.550814357582</v>
      </c>
    </row>
    <row r="885" spans="2:11" x14ac:dyDescent="0.2">
      <c r="B885">
        <v>11</v>
      </c>
      <c r="C885">
        <v>2524</v>
      </c>
      <c r="D885" s="308" t="s">
        <v>1457</v>
      </c>
      <c r="E885" s="291">
        <v>100</v>
      </c>
      <c r="F885" s="291">
        <v>11</v>
      </c>
      <c r="G885" s="291">
        <v>101</v>
      </c>
      <c r="H885" s="287">
        <v>0.11</v>
      </c>
      <c r="I885" s="211">
        <v>1.0990099009901</v>
      </c>
      <c r="J885" s="211">
        <v>-0.70504546423838499</v>
      </c>
      <c r="K885" s="288">
        <v>-70.504546423838505</v>
      </c>
    </row>
    <row r="886" spans="2:11" x14ac:dyDescent="0.2">
      <c r="B886">
        <v>11</v>
      </c>
      <c r="C886">
        <v>2525</v>
      </c>
      <c r="D886" s="308" t="s">
        <v>1458</v>
      </c>
      <c r="E886" s="291">
        <v>1282</v>
      </c>
      <c r="F886" s="291">
        <v>430</v>
      </c>
      <c r="G886" s="291">
        <v>112</v>
      </c>
      <c r="H886" s="287">
        <v>0.33541341653666101</v>
      </c>
      <c r="I886" s="211">
        <v>15.285714285714301</v>
      </c>
      <c r="J886" s="211">
        <v>0.137047162988476</v>
      </c>
      <c r="K886" s="288">
        <v>175.694462951226</v>
      </c>
    </row>
    <row r="887" spans="2:11" x14ac:dyDescent="0.2">
      <c r="B887">
        <v>11</v>
      </c>
      <c r="C887">
        <v>2526</v>
      </c>
      <c r="D887" s="308" t="s">
        <v>1459</v>
      </c>
      <c r="E887" s="291">
        <v>2772</v>
      </c>
      <c r="F887" s="291">
        <v>943</v>
      </c>
      <c r="G887" s="291">
        <v>451</v>
      </c>
      <c r="H887" s="287">
        <v>0.34018759018758998</v>
      </c>
      <c r="I887" s="211">
        <v>8.2372505543237207</v>
      </c>
      <c r="J887" s="211">
        <v>-5.7269382851539902E-2</v>
      </c>
      <c r="K887" s="288">
        <v>-158.75072926446899</v>
      </c>
    </row>
    <row r="888" spans="2:11" x14ac:dyDescent="0.2">
      <c r="B888">
        <v>11</v>
      </c>
      <c r="C888">
        <v>2527</v>
      </c>
      <c r="D888" s="308" t="s">
        <v>1460</v>
      </c>
      <c r="E888" s="291">
        <v>3506</v>
      </c>
      <c r="F888" s="291">
        <v>1085</v>
      </c>
      <c r="G888" s="291">
        <v>437</v>
      </c>
      <c r="H888" s="287">
        <v>0.309469480889903</v>
      </c>
      <c r="I888" s="211">
        <v>10.505720823798599</v>
      </c>
      <c r="J888" s="211">
        <v>1.5477189542675501E-2</v>
      </c>
      <c r="K888" s="288">
        <v>54.263026536620401</v>
      </c>
    </row>
    <row r="889" spans="2:11" x14ac:dyDescent="0.2">
      <c r="B889">
        <v>11</v>
      </c>
      <c r="C889">
        <v>2528</v>
      </c>
      <c r="D889" s="308" t="s">
        <v>1461</v>
      </c>
      <c r="E889" s="291">
        <v>1137</v>
      </c>
      <c r="F889" s="291">
        <v>559</v>
      </c>
      <c r="G889" s="291">
        <v>150</v>
      </c>
      <c r="H889" s="287">
        <v>0.49164467897977099</v>
      </c>
      <c r="I889" s="211">
        <v>11.3066666666667</v>
      </c>
      <c r="J889" s="211">
        <v>0.179926603426246</v>
      </c>
      <c r="K889" s="288">
        <v>204.57654809564099</v>
      </c>
    </row>
    <row r="890" spans="2:11" x14ac:dyDescent="0.2">
      <c r="B890">
        <v>11</v>
      </c>
      <c r="C890">
        <v>2529</v>
      </c>
      <c r="D890" s="308" t="s">
        <v>1462</v>
      </c>
      <c r="E890" s="291">
        <v>833</v>
      </c>
      <c r="F890" s="291">
        <v>99</v>
      </c>
      <c r="G890" s="291">
        <v>239</v>
      </c>
      <c r="H890" s="287">
        <v>0.118847539015606</v>
      </c>
      <c r="I890" s="211">
        <v>3.8995815899581601</v>
      </c>
      <c r="J890" s="211">
        <v>-0.56389493931925005</v>
      </c>
      <c r="K890" s="288">
        <v>-469.724484452936</v>
      </c>
    </row>
    <row r="891" spans="2:11" x14ac:dyDescent="0.2">
      <c r="B891">
        <v>11</v>
      </c>
      <c r="C891">
        <v>2530</v>
      </c>
      <c r="D891" s="308" t="s">
        <v>1463</v>
      </c>
      <c r="E891" s="291">
        <v>1932</v>
      </c>
      <c r="F891" s="291">
        <v>378</v>
      </c>
      <c r="G891" s="291">
        <v>334</v>
      </c>
      <c r="H891" s="287">
        <v>0.19565217391304299</v>
      </c>
      <c r="I891" s="211">
        <v>6.9161676646706596</v>
      </c>
      <c r="J891" s="211">
        <v>-0.31666842265045397</v>
      </c>
      <c r="K891" s="288">
        <v>-611.80339256067805</v>
      </c>
    </row>
    <row r="892" spans="2:11" x14ac:dyDescent="0.2">
      <c r="B892">
        <v>11</v>
      </c>
      <c r="C892">
        <v>2532</v>
      </c>
      <c r="D892" s="308" t="s">
        <v>1464</v>
      </c>
      <c r="E892" s="291">
        <v>3102</v>
      </c>
      <c r="F892" s="291">
        <v>2458</v>
      </c>
      <c r="G892" s="291">
        <v>620</v>
      </c>
      <c r="H892" s="287">
        <v>0.79239200515796304</v>
      </c>
      <c r="I892" s="211">
        <v>8.9677419354838701</v>
      </c>
      <c r="J892" s="211">
        <v>0.54234736851512</v>
      </c>
      <c r="K892" s="288">
        <v>1682.3615371338999</v>
      </c>
    </row>
    <row r="893" spans="2:11" x14ac:dyDescent="0.2">
      <c r="B893">
        <v>11</v>
      </c>
      <c r="C893">
        <v>2534</v>
      </c>
      <c r="D893" s="308" t="s">
        <v>1465</v>
      </c>
      <c r="E893" s="291">
        <v>8842</v>
      </c>
      <c r="F893" s="291">
        <v>5223</v>
      </c>
      <c r="G893" s="291">
        <v>446</v>
      </c>
      <c r="H893" s="287">
        <v>0.59070346075548497</v>
      </c>
      <c r="I893" s="211">
        <v>31.535874439461899</v>
      </c>
      <c r="J893" s="211">
        <v>1.33514743819349</v>
      </c>
      <c r="K893" s="288">
        <v>11805.3736485069</v>
      </c>
    </row>
    <row r="894" spans="2:11" x14ac:dyDescent="0.2">
      <c r="B894">
        <v>11</v>
      </c>
      <c r="C894">
        <v>2535</v>
      </c>
      <c r="D894" s="308" t="s">
        <v>1466</v>
      </c>
      <c r="E894" s="291">
        <v>731</v>
      </c>
      <c r="F894" s="291">
        <v>100</v>
      </c>
      <c r="G894" s="291">
        <v>454</v>
      </c>
      <c r="H894" s="287">
        <v>0.13679890560875499</v>
      </c>
      <c r="I894" s="211">
        <v>1.8303964757709299</v>
      </c>
      <c r="J894" s="211">
        <v>-0.621042257215357</v>
      </c>
      <c r="K894" s="288">
        <v>-453.98189002442598</v>
      </c>
    </row>
    <row r="895" spans="2:11" x14ac:dyDescent="0.2">
      <c r="B895">
        <v>11</v>
      </c>
      <c r="C895">
        <v>2541</v>
      </c>
      <c r="D895" s="308" t="s">
        <v>1467</v>
      </c>
      <c r="E895" s="291">
        <v>203</v>
      </c>
      <c r="F895" s="291">
        <v>98</v>
      </c>
      <c r="G895" s="291">
        <v>539</v>
      </c>
      <c r="H895" s="287">
        <v>0.48275862068965503</v>
      </c>
      <c r="I895" s="211">
        <v>0.55844155844155796</v>
      </c>
      <c r="J895" s="211">
        <v>-0.25892351638405597</v>
      </c>
      <c r="K895" s="288">
        <v>-52.561473825963397</v>
      </c>
    </row>
    <row r="896" spans="2:11" x14ac:dyDescent="0.2">
      <c r="B896">
        <v>11</v>
      </c>
      <c r="C896">
        <v>2542</v>
      </c>
      <c r="D896" s="308" t="s">
        <v>1468</v>
      </c>
      <c r="E896" s="291">
        <v>5239</v>
      </c>
      <c r="F896" s="291">
        <v>2188</v>
      </c>
      <c r="G896" s="291">
        <v>505</v>
      </c>
      <c r="H896" s="287">
        <v>0.41763695361710301</v>
      </c>
      <c r="I896" s="211">
        <v>14.7069306930693</v>
      </c>
      <c r="J896" s="211">
        <v>0.36901345545297298</v>
      </c>
      <c r="K896" s="288">
        <v>1933.2614931181299</v>
      </c>
    </row>
    <row r="897" spans="2:11" x14ac:dyDescent="0.2">
      <c r="B897">
        <v>11</v>
      </c>
      <c r="C897">
        <v>2543</v>
      </c>
      <c r="D897" s="308" t="s">
        <v>1469</v>
      </c>
      <c r="E897" s="291">
        <v>4905</v>
      </c>
      <c r="F897" s="291">
        <v>2197</v>
      </c>
      <c r="G897" s="291">
        <v>1192</v>
      </c>
      <c r="H897" s="287">
        <v>0.44791029561671802</v>
      </c>
      <c r="I897" s="211">
        <v>5.95805369127517</v>
      </c>
      <c r="J897" s="211">
        <v>7.45605666876068E-2</v>
      </c>
      <c r="K897" s="288">
        <v>365.71957960271101</v>
      </c>
    </row>
    <row r="898" spans="2:11" x14ac:dyDescent="0.2">
      <c r="B898">
        <v>11</v>
      </c>
      <c r="C898">
        <v>2544</v>
      </c>
      <c r="D898" s="308" t="s">
        <v>1470</v>
      </c>
      <c r="E898" s="291">
        <v>982</v>
      </c>
      <c r="F898" s="291">
        <v>305</v>
      </c>
      <c r="G898" s="291">
        <v>246</v>
      </c>
      <c r="H898" s="287">
        <v>0.310590631364562</v>
      </c>
      <c r="I898" s="211">
        <v>5.2317073170731696</v>
      </c>
      <c r="J898" s="211">
        <v>-0.27199768301428201</v>
      </c>
      <c r="K898" s="288">
        <v>-267.101724720025</v>
      </c>
    </row>
    <row r="899" spans="2:11" x14ac:dyDescent="0.2">
      <c r="B899">
        <v>11</v>
      </c>
      <c r="C899">
        <v>2545</v>
      </c>
      <c r="D899" s="308" t="s">
        <v>1471</v>
      </c>
      <c r="E899" s="291">
        <v>964</v>
      </c>
      <c r="F899" s="291">
        <v>384</v>
      </c>
      <c r="G899" s="291">
        <v>286</v>
      </c>
      <c r="H899" s="287">
        <v>0.39834024896265602</v>
      </c>
      <c r="I899" s="211">
        <v>4.7132867132867098</v>
      </c>
      <c r="J899" s="211">
        <v>-0.18286395496466701</v>
      </c>
      <c r="K899" s="288">
        <v>-176.28085258593899</v>
      </c>
    </row>
    <row r="900" spans="2:11" x14ac:dyDescent="0.2">
      <c r="B900">
        <v>11</v>
      </c>
      <c r="C900">
        <v>2546</v>
      </c>
      <c r="D900" s="308" t="s">
        <v>1472</v>
      </c>
      <c r="E900" s="291">
        <v>16985</v>
      </c>
      <c r="F900" s="291">
        <v>10974</v>
      </c>
      <c r="G900" s="291">
        <v>2562</v>
      </c>
      <c r="H900" s="287">
        <v>0.64609949955843404</v>
      </c>
      <c r="I900" s="211">
        <v>10.912958626073401</v>
      </c>
      <c r="J900" s="211">
        <v>0.96250063402568897</v>
      </c>
      <c r="K900" s="288">
        <v>16348.0732689263</v>
      </c>
    </row>
    <row r="901" spans="2:11" x14ac:dyDescent="0.2">
      <c r="B901">
        <v>11</v>
      </c>
      <c r="C901">
        <v>2547</v>
      </c>
      <c r="D901" s="308" t="s">
        <v>1473</v>
      </c>
      <c r="E901" s="291">
        <v>1181</v>
      </c>
      <c r="F901" s="291">
        <v>212</v>
      </c>
      <c r="G901" s="291">
        <v>525</v>
      </c>
      <c r="H901" s="287">
        <v>0.179508890770533</v>
      </c>
      <c r="I901" s="211">
        <v>2.6533333333333302</v>
      </c>
      <c r="J901" s="211">
        <v>-0.52089829403428001</v>
      </c>
      <c r="K901" s="288">
        <v>-615.180885254484</v>
      </c>
    </row>
    <row r="902" spans="2:11" x14ac:dyDescent="0.2">
      <c r="B902">
        <v>11</v>
      </c>
      <c r="C902">
        <v>2548</v>
      </c>
      <c r="D902" s="308" t="s">
        <v>1474</v>
      </c>
      <c r="E902" s="291">
        <v>742</v>
      </c>
      <c r="F902" s="291">
        <v>125</v>
      </c>
      <c r="G902" s="291">
        <v>136</v>
      </c>
      <c r="H902" s="287">
        <v>0.16846361185983799</v>
      </c>
      <c r="I902" s="211">
        <v>6.375</v>
      </c>
      <c r="J902" s="211">
        <v>-0.41557339559718298</v>
      </c>
      <c r="K902" s="288">
        <v>-308.35545953310998</v>
      </c>
    </row>
    <row r="903" spans="2:11" x14ac:dyDescent="0.2">
      <c r="B903">
        <v>11</v>
      </c>
      <c r="C903">
        <v>2549</v>
      </c>
      <c r="D903" s="308" t="s">
        <v>1475</v>
      </c>
      <c r="E903" s="291">
        <v>30</v>
      </c>
      <c r="F903" s="291">
        <v>11</v>
      </c>
      <c r="G903" s="291">
        <v>94</v>
      </c>
      <c r="H903" s="287">
        <v>0.36666666666666697</v>
      </c>
      <c r="I903" s="211">
        <v>0.43617021276595702</v>
      </c>
      <c r="J903" s="211">
        <v>-0.41385183706379902</v>
      </c>
      <c r="K903" s="288">
        <v>-12.415555111913999</v>
      </c>
    </row>
    <row r="904" spans="2:11" x14ac:dyDescent="0.2">
      <c r="B904">
        <v>11</v>
      </c>
      <c r="C904">
        <v>2550</v>
      </c>
      <c r="D904" s="308" t="s">
        <v>1476</v>
      </c>
      <c r="E904" s="291">
        <v>3732</v>
      </c>
      <c r="F904" s="291">
        <v>1406</v>
      </c>
      <c r="G904" s="291">
        <v>195</v>
      </c>
      <c r="H904" s="287">
        <v>0.37674169346195102</v>
      </c>
      <c r="I904" s="211">
        <v>26.348717948717901</v>
      </c>
      <c r="J904" s="211">
        <v>0.68550883273295404</v>
      </c>
      <c r="K904" s="288">
        <v>2558.31896375938</v>
      </c>
    </row>
    <row r="905" spans="2:11" x14ac:dyDescent="0.2">
      <c r="B905">
        <v>11</v>
      </c>
      <c r="C905">
        <v>2551</v>
      </c>
      <c r="D905" s="308" t="s">
        <v>1477</v>
      </c>
      <c r="E905" s="291">
        <v>1501</v>
      </c>
      <c r="F905" s="291">
        <v>156</v>
      </c>
      <c r="G905" s="291">
        <v>577</v>
      </c>
      <c r="H905" s="287">
        <v>0.10393071285809501</v>
      </c>
      <c r="I905" s="211">
        <v>2.8717504332755599</v>
      </c>
      <c r="J905" s="211">
        <v>-0.59435603976490703</v>
      </c>
      <c r="K905" s="288">
        <v>-892.12841568712599</v>
      </c>
    </row>
    <row r="906" spans="2:11" x14ac:dyDescent="0.2">
      <c r="B906">
        <v>11</v>
      </c>
      <c r="C906">
        <v>2553</v>
      </c>
      <c r="D906" s="308" t="s">
        <v>1478</v>
      </c>
      <c r="E906" s="291">
        <v>1685</v>
      </c>
      <c r="F906" s="291">
        <v>449</v>
      </c>
      <c r="G906" s="291">
        <v>1180</v>
      </c>
      <c r="H906" s="287">
        <v>0.26646884272997001</v>
      </c>
      <c r="I906" s="211">
        <v>1.80847457627119</v>
      </c>
      <c r="J906" s="211">
        <v>-0.42470791101351402</v>
      </c>
      <c r="K906" s="288">
        <v>-715.632830057771</v>
      </c>
    </row>
    <row r="907" spans="2:11" x14ac:dyDescent="0.2">
      <c r="B907">
        <v>11</v>
      </c>
      <c r="C907">
        <v>2554</v>
      </c>
      <c r="D907" s="308" t="s">
        <v>1479</v>
      </c>
      <c r="E907" s="291">
        <v>2296</v>
      </c>
      <c r="F907" s="291">
        <v>457</v>
      </c>
      <c r="G907" s="291">
        <v>698</v>
      </c>
      <c r="H907" s="287">
        <v>0.19904181184669001</v>
      </c>
      <c r="I907" s="211">
        <v>3.9441260744985698</v>
      </c>
      <c r="J907" s="211">
        <v>-0.40699540296741699</v>
      </c>
      <c r="K907" s="288">
        <v>-934.46144521318899</v>
      </c>
    </row>
    <row r="908" spans="2:11" x14ac:dyDescent="0.2">
      <c r="B908">
        <v>11</v>
      </c>
      <c r="C908">
        <v>2555</v>
      </c>
      <c r="D908" s="308" t="s">
        <v>1480</v>
      </c>
      <c r="E908" s="291">
        <v>1491</v>
      </c>
      <c r="F908" s="291">
        <v>319</v>
      </c>
      <c r="G908" s="291">
        <v>869</v>
      </c>
      <c r="H908" s="287">
        <v>0.21395036887994601</v>
      </c>
      <c r="I908" s="211">
        <v>2.0828538550057498</v>
      </c>
      <c r="J908" s="211">
        <v>-0.48718877397288601</v>
      </c>
      <c r="K908" s="288">
        <v>-726.39846199357396</v>
      </c>
    </row>
    <row r="909" spans="2:11" x14ac:dyDescent="0.2">
      <c r="B909">
        <v>11</v>
      </c>
      <c r="C909">
        <v>2556</v>
      </c>
      <c r="D909" s="308" t="s">
        <v>1481</v>
      </c>
      <c r="E909" s="291">
        <v>3397</v>
      </c>
      <c r="F909" s="291">
        <v>1713</v>
      </c>
      <c r="G909" s="291">
        <v>1900</v>
      </c>
      <c r="H909" s="287">
        <v>0.50426847218133697</v>
      </c>
      <c r="I909" s="211">
        <v>2.68947368421053</v>
      </c>
      <c r="J909" s="211">
        <v>-3.2477091203380201E-2</v>
      </c>
      <c r="K909" s="288">
        <v>-110.324678817883</v>
      </c>
    </row>
    <row r="910" spans="2:11" x14ac:dyDescent="0.2">
      <c r="B910">
        <v>11</v>
      </c>
      <c r="C910">
        <v>2571</v>
      </c>
      <c r="D910" s="308" t="s">
        <v>1482</v>
      </c>
      <c r="E910" s="291">
        <v>770</v>
      </c>
      <c r="F910" s="291">
        <v>226</v>
      </c>
      <c r="G910" s="291">
        <v>255</v>
      </c>
      <c r="H910" s="287">
        <v>0.29350649350649299</v>
      </c>
      <c r="I910" s="211">
        <v>3.9058823529411799</v>
      </c>
      <c r="J910" s="211">
        <v>-0.34964113656627599</v>
      </c>
      <c r="K910" s="288">
        <v>-269.22367515603298</v>
      </c>
    </row>
    <row r="911" spans="2:11" x14ac:dyDescent="0.2">
      <c r="B911">
        <v>11</v>
      </c>
      <c r="C911">
        <v>2572</v>
      </c>
      <c r="D911" s="308" t="s">
        <v>1483</v>
      </c>
      <c r="E911" s="291">
        <v>2776</v>
      </c>
      <c r="F911" s="291">
        <v>2478</v>
      </c>
      <c r="G911" s="291">
        <v>539</v>
      </c>
      <c r="H911" s="287">
        <v>0.89265129682997102</v>
      </c>
      <c r="I911" s="211">
        <v>9.7476808905380299</v>
      </c>
      <c r="J911" s="211">
        <v>0.68258503352701205</v>
      </c>
      <c r="K911" s="288">
        <v>1894.8560530709799</v>
      </c>
    </row>
    <row r="912" spans="2:11" x14ac:dyDescent="0.2">
      <c r="B912">
        <v>11</v>
      </c>
      <c r="C912">
        <v>2573</v>
      </c>
      <c r="D912" s="308" t="s">
        <v>1484</v>
      </c>
      <c r="E912" s="291">
        <v>4910</v>
      </c>
      <c r="F912" s="291">
        <v>1351</v>
      </c>
      <c r="G912" s="291">
        <v>596</v>
      </c>
      <c r="H912" s="287">
        <v>0.27515274949083501</v>
      </c>
      <c r="I912" s="211">
        <v>10.505033557047</v>
      </c>
      <c r="J912" s="211">
        <v>2.6574146393542601E-2</v>
      </c>
      <c r="K912" s="288">
        <v>130.47905879229401</v>
      </c>
    </row>
    <row r="913" spans="2:11" x14ac:dyDescent="0.2">
      <c r="B913">
        <v>11</v>
      </c>
      <c r="C913">
        <v>2574</v>
      </c>
      <c r="D913" s="308" t="s">
        <v>1485</v>
      </c>
      <c r="E913" s="291">
        <v>325</v>
      </c>
      <c r="F913" s="291">
        <v>269</v>
      </c>
      <c r="G913" s="291">
        <v>177</v>
      </c>
      <c r="H913" s="287">
        <v>0.82769230769230795</v>
      </c>
      <c r="I913" s="211">
        <v>3.35593220338983</v>
      </c>
      <c r="J913" s="211">
        <v>0.27523451570830698</v>
      </c>
      <c r="K913" s="288">
        <v>89.451217605199702</v>
      </c>
    </row>
    <row r="914" spans="2:11" x14ac:dyDescent="0.2">
      <c r="B914">
        <v>11</v>
      </c>
      <c r="C914">
        <v>2575</v>
      </c>
      <c r="D914" s="308" t="s">
        <v>1486</v>
      </c>
      <c r="E914" s="291">
        <v>1742</v>
      </c>
      <c r="F914" s="291">
        <v>723</v>
      </c>
      <c r="G914" s="291">
        <v>433</v>
      </c>
      <c r="H914" s="287">
        <v>0.41504018369689999</v>
      </c>
      <c r="I914" s="211">
        <v>5.6928406466512698</v>
      </c>
      <c r="J914" s="211">
        <v>-9.6703801761257799E-2</v>
      </c>
      <c r="K914" s="288">
        <v>-168.458022668111</v>
      </c>
    </row>
    <row r="915" spans="2:11" x14ac:dyDescent="0.2">
      <c r="B915">
        <v>11</v>
      </c>
      <c r="C915">
        <v>2576</v>
      </c>
      <c r="D915" s="308" t="s">
        <v>1487</v>
      </c>
      <c r="E915" s="291">
        <v>2703</v>
      </c>
      <c r="F915" s="291">
        <v>816</v>
      </c>
      <c r="G915" s="291">
        <v>572</v>
      </c>
      <c r="H915" s="287">
        <v>0.30188679245283001</v>
      </c>
      <c r="I915" s="211">
        <v>6.1520979020978999</v>
      </c>
      <c r="J915" s="211">
        <v>-0.183444032482345</v>
      </c>
      <c r="K915" s="288">
        <v>-495.84921979977901</v>
      </c>
    </row>
    <row r="916" spans="2:11" x14ac:dyDescent="0.2">
      <c r="B916">
        <v>11</v>
      </c>
      <c r="C916">
        <v>2578</v>
      </c>
      <c r="D916" s="308" t="s">
        <v>1488</v>
      </c>
      <c r="E916" s="291">
        <v>1659</v>
      </c>
      <c r="F916" s="291">
        <v>791</v>
      </c>
      <c r="G916" s="291">
        <v>385</v>
      </c>
      <c r="H916" s="287">
        <v>0.47679324894514802</v>
      </c>
      <c r="I916" s="211">
        <v>6.3636363636363598</v>
      </c>
      <c r="J916" s="211">
        <v>1.12111568779312E-3</v>
      </c>
      <c r="K916" s="288">
        <v>1.85993092604878</v>
      </c>
    </row>
    <row r="917" spans="2:11" x14ac:dyDescent="0.2">
      <c r="B917">
        <v>11</v>
      </c>
      <c r="C917">
        <v>2579</v>
      </c>
      <c r="D917" s="308" t="s">
        <v>1489</v>
      </c>
      <c r="E917" s="291">
        <v>4949</v>
      </c>
      <c r="F917" s="291">
        <v>3102</v>
      </c>
      <c r="G917" s="291">
        <v>1386</v>
      </c>
      <c r="H917" s="287">
        <v>0.62679329157405494</v>
      </c>
      <c r="I917" s="211">
        <v>5.80880230880231</v>
      </c>
      <c r="J917" s="211">
        <v>0.292461711598272</v>
      </c>
      <c r="K917" s="288">
        <v>1447.39301069985</v>
      </c>
    </row>
    <row r="918" spans="2:11" x14ac:dyDescent="0.2">
      <c r="B918">
        <v>11</v>
      </c>
      <c r="C918">
        <v>2580</v>
      </c>
      <c r="D918" s="308" t="s">
        <v>1490</v>
      </c>
      <c r="E918" s="291">
        <v>3157</v>
      </c>
      <c r="F918" s="291">
        <v>537</v>
      </c>
      <c r="G918" s="291">
        <v>511</v>
      </c>
      <c r="H918" s="287">
        <v>0.17009819448843799</v>
      </c>
      <c r="I918" s="211">
        <v>7.2289628180039101</v>
      </c>
      <c r="J918" s="211">
        <v>-0.29011500256190598</v>
      </c>
      <c r="K918" s="288">
        <v>-915.893063087938</v>
      </c>
    </row>
    <row r="919" spans="2:11" x14ac:dyDescent="0.2">
      <c r="B919">
        <v>11</v>
      </c>
      <c r="C919">
        <v>2581</v>
      </c>
      <c r="D919" s="308" t="s">
        <v>1491</v>
      </c>
      <c r="E919" s="291">
        <v>18166</v>
      </c>
      <c r="F919" s="291">
        <v>20489</v>
      </c>
      <c r="G919" s="291">
        <v>1092</v>
      </c>
      <c r="H919" s="287">
        <v>1.12787625233954</v>
      </c>
      <c r="I919" s="211">
        <v>35.3983516483516</v>
      </c>
      <c r="J919" s="211">
        <v>2.4979810675757599</v>
      </c>
      <c r="K919" s="288">
        <v>45378.3240735812</v>
      </c>
    </row>
    <row r="920" spans="2:11" x14ac:dyDescent="0.2">
      <c r="B920">
        <v>11</v>
      </c>
      <c r="C920">
        <v>2582</v>
      </c>
      <c r="D920" s="308" t="s">
        <v>1492</v>
      </c>
      <c r="E920" s="291">
        <v>904</v>
      </c>
      <c r="F920" s="291">
        <v>779</v>
      </c>
      <c r="G920" s="291">
        <v>276</v>
      </c>
      <c r="H920" s="287">
        <v>0.86172566371681403</v>
      </c>
      <c r="I920" s="211">
        <v>6.0978260869565197</v>
      </c>
      <c r="J920" s="211">
        <v>0.43956927209873198</v>
      </c>
      <c r="K920" s="288">
        <v>397.37062197725402</v>
      </c>
    </row>
    <row r="921" spans="2:11" x14ac:dyDescent="0.2">
      <c r="B921">
        <v>11</v>
      </c>
      <c r="C921">
        <v>2583</v>
      </c>
      <c r="D921" s="308" t="s">
        <v>1493</v>
      </c>
      <c r="E921" s="291">
        <v>4948</v>
      </c>
      <c r="F921" s="291">
        <v>2311</v>
      </c>
      <c r="G921" s="291">
        <v>354</v>
      </c>
      <c r="H921" s="287">
        <v>0.46705739692805198</v>
      </c>
      <c r="I921" s="211">
        <v>20.5056497175141</v>
      </c>
      <c r="J921" s="211">
        <v>0.63070199050181597</v>
      </c>
      <c r="K921" s="288">
        <v>3120.7134490029798</v>
      </c>
    </row>
    <row r="922" spans="2:11" x14ac:dyDescent="0.2">
      <c r="B922">
        <v>11</v>
      </c>
      <c r="C922">
        <v>2584</v>
      </c>
      <c r="D922" s="308" t="s">
        <v>1494</v>
      </c>
      <c r="E922" s="291">
        <v>1706</v>
      </c>
      <c r="F922" s="291">
        <v>341</v>
      </c>
      <c r="G922" s="291">
        <v>184</v>
      </c>
      <c r="H922" s="287">
        <v>0.19988276670574401</v>
      </c>
      <c r="I922" s="211">
        <v>11.125</v>
      </c>
      <c r="J922" s="211">
        <v>-0.16650125563302601</v>
      </c>
      <c r="K922" s="288">
        <v>-284.05114210994299</v>
      </c>
    </row>
    <row r="923" spans="2:11" x14ac:dyDescent="0.2">
      <c r="B923">
        <v>11</v>
      </c>
      <c r="C923">
        <v>2585</v>
      </c>
      <c r="D923" s="308" t="s">
        <v>1495</v>
      </c>
      <c r="E923" s="291">
        <v>696</v>
      </c>
      <c r="F923" s="291">
        <v>159</v>
      </c>
      <c r="G923" s="291">
        <v>449</v>
      </c>
      <c r="H923" s="287">
        <v>0.22844827586206901</v>
      </c>
      <c r="I923" s="211">
        <v>1.9042316258351899</v>
      </c>
      <c r="J923" s="211">
        <v>-0.50611708420712798</v>
      </c>
      <c r="K923" s="288">
        <v>-352.25749060816099</v>
      </c>
    </row>
    <row r="924" spans="2:11" x14ac:dyDescent="0.2">
      <c r="B924">
        <v>11</v>
      </c>
      <c r="C924">
        <v>2586</v>
      </c>
      <c r="D924" s="308" t="s">
        <v>1496</v>
      </c>
      <c r="E924" s="291">
        <v>5087</v>
      </c>
      <c r="F924" s="291">
        <v>2704</v>
      </c>
      <c r="G924" s="291">
        <v>693</v>
      </c>
      <c r="H924" s="287">
        <v>0.53155101238450997</v>
      </c>
      <c r="I924" s="211">
        <v>11.2424242424242</v>
      </c>
      <c r="J924" s="211">
        <v>0.377960607645419</v>
      </c>
      <c r="K924" s="288">
        <v>1922.6856110922399</v>
      </c>
    </row>
    <row r="925" spans="2:11" x14ac:dyDescent="0.2">
      <c r="B925">
        <v>11</v>
      </c>
      <c r="C925">
        <v>2601</v>
      </c>
      <c r="D925" s="308" t="s">
        <v>1497</v>
      </c>
      <c r="E925" s="291">
        <v>16697</v>
      </c>
      <c r="F925" s="291">
        <v>20570</v>
      </c>
      <c r="G925" s="291">
        <v>592</v>
      </c>
      <c r="H925" s="287">
        <v>1.23195783673714</v>
      </c>
      <c r="I925" s="211">
        <v>62.951013513513502</v>
      </c>
      <c r="J925" s="211">
        <v>3.5760900258434201</v>
      </c>
      <c r="K925" s="288">
        <v>59709.9751615075</v>
      </c>
    </row>
    <row r="926" spans="2:11" x14ac:dyDescent="0.2">
      <c r="B926">
        <v>11</v>
      </c>
      <c r="C926">
        <v>2611</v>
      </c>
      <c r="D926" s="308" t="s">
        <v>1498</v>
      </c>
      <c r="E926" s="291">
        <v>817</v>
      </c>
      <c r="F926" s="291">
        <v>141</v>
      </c>
      <c r="G926" s="291">
        <v>1113</v>
      </c>
      <c r="H926" s="287">
        <v>0.17258261933904501</v>
      </c>
      <c r="I926" s="211">
        <v>0.86073674752920004</v>
      </c>
      <c r="J926" s="211">
        <v>-0.60879258108766898</v>
      </c>
      <c r="K926" s="288">
        <v>-497.38353874862599</v>
      </c>
    </row>
    <row r="927" spans="2:11" x14ac:dyDescent="0.2">
      <c r="B927">
        <v>11</v>
      </c>
      <c r="C927">
        <v>2612</v>
      </c>
      <c r="D927" s="308" t="s">
        <v>1499</v>
      </c>
      <c r="E927" s="291">
        <v>246</v>
      </c>
      <c r="F927" s="291">
        <v>131</v>
      </c>
      <c r="G927" s="291">
        <v>2265</v>
      </c>
      <c r="H927" s="287">
        <v>0.53252032520325199</v>
      </c>
      <c r="I927" s="211">
        <v>0.16644591611479001</v>
      </c>
      <c r="J927" s="211">
        <v>-0.209919630119177</v>
      </c>
      <c r="K927" s="288">
        <v>-51.640229009317501</v>
      </c>
    </row>
    <row r="928" spans="2:11" x14ac:dyDescent="0.2">
      <c r="B928">
        <v>11</v>
      </c>
      <c r="C928">
        <v>2613</v>
      </c>
      <c r="D928" s="308" t="s">
        <v>1500</v>
      </c>
      <c r="E928" s="291">
        <v>3849</v>
      </c>
      <c r="F928" s="291">
        <v>1869</v>
      </c>
      <c r="G928" s="291">
        <v>680</v>
      </c>
      <c r="H928" s="287">
        <v>0.485580670303975</v>
      </c>
      <c r="I928" s="211">
        <v>8.4088235294117606</v>
      </c>
      <c r="J928" s="211">
        <v>0.170307983265405</v>
      </c>
      <c r="K928" s="288">
        <v>655.51542758854396</v>
      </c>
    </row>
    <row r="929" spans="2:11" x14ac:dyDescent="0.2">
      <c r="B929">
        <v>11</v>
      </c>
      <c r="C929">
        <v>2614</v>
      </c>
      <c r="D929" s="308" t="s">
        <v>1501</v>
      </c>
      <c r="E929" s="291">
        <v>2251</v>
      </c>
      <c r="F929" s="291">
        <v>677</v>
      </c>
      <c r="G929" s="291">
        <v>751</v>
      </c>
      <c r="H929" s="287">
        <v>0.300755219902266</v>
      </c>
      <c r="I929" s="211">
        <v>3.8988015978695101</v>
      </c>
      <c r="J929" s="211">
        <v>-0.284328893156373</v>
      </c>
      <c r="K929" s="288">
        <v>-640.02433849499596</v>
      </c>
    </row>
    <row r="930" spans="2:11" x14ac:dyDescent="0.2">
      <c r="B930">
        <v>11</v>
      </c>
      <c r="C930">
        <v>2615</v>
      </c>
      <c r="D930" s="308" t="s">
        <v>1502</v>
      </c>
      <c r="E930" s="291">
        <v>906</v>
      </c>
      <c r="F930" s="291">
        <v>462</v>
      </c>
      <c r="G930" s="291">
        <v>744</v>
      </c>
      <c r="H930" s="287">
        <v>0.50993377483443703</v>
      </c>
      <c r="I930" s="211">
        <v>1.8387096774193501</v>
      </c>
      <c r="J930" s="211">
        <v>-0.151676938506805</v>
      </c>
      <c r="K930" s="288">
        <v>-137.419306287165</v>
      </c>
    </row>
    <row r="931" spans="2:11" x14ac:dyDescent="0.2">
      <c r="B931">
        <v>11</v>
      </c>
      <c r="C931">
        <v>2616</v>
      </c>
      <c r="D931" s="308" t="s">
        <v>1503</v>
      </c>
      <c r="E931" s="291">
        <v>594</v>
      </c>
      <c r="F931" s="291">
        <v>81</v>
      </c>
      <c r="G931" s="291">
        <v>148</v>
      </c>
      <c r="H931" s="287">
        <v>0.13636363636363599</v>
      </c>
      <c r="I931" s="211">
        <v>4.5608108108108096</v>
      </c>
      <c r="J931" s="211">
        <v>-0.52719659936166596</v>
      </c>
      <c r="K931" s="288">
        <v>-313.15478002083</v>
      </c>
    </row>
    <row r="932" spans="2:11" x14ac:dyDescent="0.2">
      <c r="B932">
        <v>11</v>
      </c>
      <c r="C932">
        <v>2617</v>
      </c>
      <c r="D932" s="308" t="s">
        <v>1504</v>
      </c>
      <c r="E932" s="291">
        <v>491</v>
      </c>
      <c r="F932" s="291">
        <v>59</v>
      </c>
      <c r="G932" s="291">
        <v>304</v>
      </c>
      <c r="H932" s="287">
        <v>0.120162932790224</v>
      </c>
      <c r="I932" s="211">
        <v>1.80921052631579</v>
      </c>
      <c r="J932" s="211">
        <v>-0.65160020469305302</v>
      </c>
      <c r="K932" s="288">
        <v>-319.935700504289</v>
      </c>
    </row>
    <row r="933" spans="2:11" x14ac:dyDescent="0.2">
      <c r="B933">
        <v>11</v>
      </c>
      <c r="C933">
        <v>2618</v>
      </c>
      <c r="D933" s="308" t="s">
        <v>1505</v>
      </c>
      <c r="E933" s="291">
        <v>926</v>
      </c>
      <c r="F933" s="291">
        <v>116</v>
      </c>
      <c r="G933" s="291">
        <v>604</v>
      </c>
      <c r="H933" s="287">
        <v>0.12526997840172799</v>
      </c>
      <c r="I933" s="211">
        <v>1.72516556291391</v>
      </c>
      <c r="J933" s="211">
        <v>-0.63171701530296898</v>
      </c>
      <c r="K933" s="288">
        <v>-584.96995617054995</v>
      </c>
    </row>
    <row r="934" spans="2:11" x14ac:dyDescent="0.2">
      <c r="B934">
        <v>11</v>
      </c>
      <c r="C934">
        <v>2619</v>
      </c>
      <c r="D934" s="308" t="s">
        <v>1506</v>
      </c>
      <c r="E934" s="291">
        <v>1255</v>
      </c>
      <c r="F934" s="291">
        <v>359</v>
      </c>
      <c r="G934" s="291">
        <v>1627</v>
      </c>
      <c r="H934" s="287">
        <v>0.28605577689243</v>
      </c>
      <c r="I934" s="211">
        <v>0.9920098340504</v>
      </c>
      <c r="J934" s="211">
        <v>-0.44665543933377999</v>
      </c>
      <c r="K934" s="288">
        <v>-560.55257636389399</v>
      </c>
    </row>
    <row r="935" spans="2:11" x14ac:dyDescent="0.2">
      <c r="B935">
        <v>11</v>
      </c>
      <c r="C935">
        <v>2620</v>
      </c>
      <c r="D935" s="308" t="s">
        <v>1507</v>
      </c>
      <c r="E935" s="291">
        <v>663</v>
      </c>
      <c r="F935" s="291">
        <v>146</v>
      </c>
      <c r="G935" s="291">
        <v>576</v>
      </c>
      <c r="H935" s="287">
        <v>0.220211161387632</v>
      </c>
      <c r="I935" s="211">
        <v>1.4045138888888899</v>
      </c>
      <c r="J935" s="211">
        <v>-0.53581743744317201</v>
      </c>
      <c r="K935" s="288">
        <v>-355.24696102482301</v>
      </c>
    </row>
    <row r="936" spans="2:11" x14ac:dyDescent="0.2">
      <c r="B936">
        <v>11</v>
      </c>
      <c r="C936">
        <v>2621</v>
      </c>
      <c r="D936" s="308" t="s">
        <v>1508</v>
      </c>
      <c r="E936" s="291">
        <v>1878</v>
      </c>
      <c r="F936" s="291">
        <v>667</v>
      </c>
      <c r="G936" s="291">
        <v>1024</v>
      </c>
      <c r="H936" s="287">
        <v>0.35516506922257701</v>
      </c>
      <c r="I936" s="211">
        <v>2.4853515625</v>
      </c>
      <c r="J936" s="211">
        <v>-0.28272830415602901</v>
      </c>
      <c r="K936" s="288">
        <v>-530.96375520502295</v>
      </c>
    </row>
    <row r="937" spans="2:11" x14ac:dyDescent="0.2">
      <c r="B937">
        <v>11</v>
      </c>
      <c r="C937">
        <v>2622</v>
      </c>
      <c r="D937" s="308" t="s">
        <v>1509</v>
      </c>
      <c r="E937" s="291">
        <v>651</v>
      </c>
      <c r="F937" s="291">
        <v>118</v>
      </c>
      <c r="G937" s="291">
        <v>364</v>
      </c>
      <c r="H937" s="287">
        <v>0.18125960061443899</v>
      </c>
      <c r="I937" s="211">
        <v>2.11263736263736</v>
      </c>
      <c r="J937" s="211">
        <v>-0.55870729902643901</v>
      </c>
      <c r="K937" s="288">
        <v>-363.71845166621199</v>
      </c>
    </row>
    <row r="938" spans="2:11" x14ac:dyDescent="0.2">
      <c r="B938">
        <v>12</v>
      </c>
      <c r="C938">
        <v>2701</v>
      </c>
      <c r="D938" s="308" t="s">
        <v>1510</v>
      </c>
      <c r="E938" s="291">
        <v>171017</v>
      </c>
      <c r="F938" s="291">
        <v>185806</v>
      </c>
      <c r="G938" s="291">
        <v>2247</v>
      </c>
      <c r="H938" s="287">
        <v>1.08647678300988</v>
      </c>
      <c r="I938" s="211">
        <v>158.79973297730299</v>
      </c>
      <c r="J938" s="211">
        <v>12.789360577998799</v>
      </c>
      <c r="K938" s="288">
        <v>2187198.0779676298</v>
      </c>
    </row>
    <row r="939" spans="2:11" x14ac:dyDescent="0.2">
      <c r="B939">
        <v>12</v>
      </c>
      <c r="C939">
        <v>2702</v>
      </c>
      <c r="D939" s="308" t="s">
        <v>1511</v>
      </c>
      <c r="E939" s="291">
        <v>1158</v>
      </c>
      <c r="F939" s="291">
        <v>525</v>
      </c>
      <c r="G939" s="291">
        <v>220</v>
      </c>
      <c r="H939" s="287">
        <v>0.45336787564766801</v>
      </c>
      <c r="I939" s="211">
        <v>7.65</v>
      </c>
      <c r="J939" s="211">
        <v>-1.16471042661785E-4</v>
      </c>
      <c r="K939" s="288">
        <v>-0.13487346740234701</v>
      </c>
    </row>
    <row r="940" spans="2:11" x14ac:dyDescent="0.2">
      <c r="B940">
        <v>12</v>
      </c>
      <c r="C940">
        <v>2703</v>
      </c>
      <c r="D940" s="308" t="s">
        <v>1512</v>
      </c>
      <c r="E940" s="291">
        <v>20895</v>
      </c>
      <c r="F940" s="291">
        <v>5003</v>
      </c>
      <c r="G940" s="291">
        <v>1065</v>
      </c>
      <c r="H940" s="287">
        <v>0.239435271596076</v>
      </c>
      <c r="I940" s="211">
        <v>24.317370892018801</v>
      </c>
      <c r="J940" s="211">
        <v>1.09703864972161</v>
      </c>
      <c r="K940" s="288">
        <v>22922.622585933099</v>
      </c>
    </row>
    <row r="941" spans="2:11" x14ac:dyDescent="0.2">
      <c r="B941">
        <v>13</v>
      </c>
      <c r="C941">
        <v>2761</v>
      </c>
      <c r="D941" s="308" t="s">
        <v>1513</v>
      </c>
      <c r="E941" s="291">
        <v>10184</v>
      </c>
      <c r="F941" s="291">
        <v>5522</v>
      </c>
      <c r="G941" s="291">
        <v>730</v>
      </c>
      <c r="H941" s="287">
        <v>0.54222309505106003</v>
      </c>
      <c r="I941" s="211">
        <v>21.5150684931507</v>
      </c>
      <c r="J941" s="211">
        <v>0.96073826155085196</v>
      </c>
      <c r="K941" s="288">
        <v>9784.1584556338694</v>
      </c>
    </row>
    <row r="942" spans="2:11" x14ac:dyDescent="0.2">
      <c r="B942">
        <v>13</v>
      </c>
      <c r="C942">
        <v>2762</v>
      </c>
      <c r="D942" s="308" t="s">
        <v>1514</v>
      </c>
      <c r="E942" s="291">
        <v>20695</v>
      </c>
      <c r="F942" s="291">
        <v>10589</v>
      </c>
      <c r="G942" s="291">
        <v>883</v>
      </c>
      <c r="H942" s="287">
        <v>0.51166948538294299</v>
      </c>
      <c r="I942" s="211">
        <v>35.429218573046398</v>
      </c>
      <c r="J942" s="211">
        <v>1.8321576680209299</v>
      </c>
      <c r="K942" s="288">
        <v>37916.5029396932</v>
      </c>
    </row>
    <row r="943" spans="2:11" x14ac:dyDescent="0.2">
      <c r="B943">
        <v>13</v>
      </c>
      <c r="C943">
        <v>2763</v>
      </c>
      <c r="D943" s="308" t="s">
        <v>1515</v>
      </c>
      <c r="E943" s="291">
        <v>9287</v>
      </c>
      <c r="F943" s="291">
        <v>6172</v>
      </c>
      <c r="G943" s="291">
        <v>692</v>
      </c>
      <c r="H943" s="287">
        <v>0.66458490362872802</v>
      </c>
      <c r="I943" s="211">
        <v>22.339595375722499</v>
      </c>
      <c r="J943" s="211">
        <v>1.1081737656808199</v>
      </c>
      <c r="K943" s="288">
        <v>10291.6097618777</v>
      </c>
    </row>
    <row r="944" spans="2:11" x14ac:dyDescent="0.2">
      <c r="B944">
        <v>13</v>
      </c>
      <c r="C944">
        <v>2764</v>
      </c>
      <c r="D944" s="308" t="s">
        <v>1516</v>
      </c>
      <c r="E944" s="291">
        <v>3408</v>
      </c>
      <c r="F944" s="291">
        <v>1056</v>
      </c>
      <c r="G944" s="291">
        <v>412</v>
      </c>
      <c r="H944" s="287">
        <v>0.309859154929577</v>
      </c>
      <c r="I944" s="211">
        <v>10.8349514563107</v>
      </c>
      <c r="J944" s="211">
        <v>2.4227578566364E-2</v>
      </c>
      <c r="K944" s="288">
        <v>82.5675877541685</v>
      </c>
    </row>
    <row r="945" spans="2:11" x14ac:dyDescent="0.2">
      <c r="B945">
        <v>13</v>
      </c>
      <c r="C945">
        <v>2765</v>
      </c>
      <c r="D945" s="308" t="s">
        <v>1517</v>
      </c>
      <c r="E945" s="291">
        <v>15391</v>
      </c>
      <c r="F945" s="291">
        <v>6217</v>
      </c>
      <c r="G945" s="291">
        <v>447</v>
      </c>
      <c r="H945" s="287">
        <v>0.40393736599311297</v>
      </c>
      <c r="I945" s="211">
        <v>48.340044742729297</v>
      </c>
      <c r="J945" s="211">
        <v>1.9670509940316301</v>
      </c>
      <c r="K945" s="288">
        <v>30274.881849140798</v>
      </c>
    </row>
    <row r="946" spans="2:11" x14ac:dyDescent="0.2">
      <c r="B946">
        <v>13</v>
      </c>
      <c r="C946">
        <v>2766</v>
      </c>
      <c r="D946" s="308" t="s">
        <v>1518</v>
      </c>
      <c r="E946" s="291">
        <v>10469</v>
      </c>
      <c r="F946" s="291">
        <v>4175</v>
      </c>
      <c r="G946" s="291">
        <v>208</v>
      </c>
      <c r="H946" s="287">
        <v>0.39879644665202002</v>
      </c>
      <c r="I946" s="211">
        <v>70.403846153846203</v>
      </c>
      <c r="J946" s="211">
        <v>2.5776158474096</v>
      </c>
      <c r="K946" s="288">
        <v>26985.060306531101</v>
      </c>
    </row>
    <row r="947" spans="2:11" x14ac:dyDescent="0.2">
      <c r="B947">
        <v>13</v>
      </c>
      <c r="C947">
        <v>2767</v>
      </c>
      <c r="D947" s="308" t="s">
        <v>1519</v>
      </c>
      <c r="E947" s="291">
        <v>6528</v>
      </c>
      <c r="F947" s="291">
        <v>1359</v>
      </c>
      <c r="G947" s="291">
        <v>294</v>
      </c>
      <c r="H947" s="287">
        <v>0.20818014705882401</v>
      </c>
      <c r="I947" s="211">
        <v>26.826530612244898</v>
      </c>
      <c r="J947" s="211">
        <v>0.60090017696818498</v>
      </c>
      <c r="K947" s="288">
        <v>3922.6763552483098</v>
      </c>
    </row>
    <row r="948" spans="2:11" x14ac:dyDescent="0.2">
      <c r="B948">
        <v>13</v>
      </c>
      <c r="C948">
        <v>2768</v>
      </c>
      <c r="D948" s="308" t="s">
        <v>1520</v>
      </c>
      <c r="E948" s="291">
        <v>5041</v>
      </c>
      <c r="F948" s="291">
        <v>1283</v>
      </c>
      <c r="G948" s="291">
        <v>636</v>
      </c>
      <c r="H948" s="287">
        <v>0.25451299345368</v>
      </c>
      <c r="I948" s="211">
        <v>9.9433962264150892</v>
      </c>
      <c r="J948" s="211">
        <v>-1.4487911656152199E-2</v>
      </c>
      <c r="K948" s="288">
        <v>-73.0335626586632</v>
      </c>
    </row>
    <row r="949" spans="2:11" x14ac:dyDescent="0.2">
      <c r="B949">
        <v>13</v>
      </c>
      <c r="C949">
        <v>2769</v>
      </c>
      <c r="D949" s="308" t="s">
        <v>1521</v>
      </c>
      <c r="E949" s="291">
        <v>12119</v>
      </c>
      <c r="F949" s="291">
        <v>11364</v>
      </c>
      <c r="G949" s="291">
        <v>702</v>
      </c>
      <c r="H949" s="287">
        <v>0.93770113045630799</v>
      </c>
      <c r="I949" s="211">
        <v>33.451566951567003</v>
      </c>
      <c r="J949" s="211">
        <v>1.96024137477345</v>
      </c>
      <c r="K949" s="288">
        <v>23756.1652208794</v>
      </c>
    </row>
    <row r="950" spans="2:11" x14ac:dyDescent="0.2">
      <c r="B950">
        <v>13</v>
      </c>
      <c r="C950">
        <v>2770</v>
      </c>
      <c r="D950" s="308" t="s">
        <v>1522</v>
      </c>
      <c r="E950" s="291">
        <v>17723</v>
      </c>
      <c r="F950" s="291">
        <v>13140</v>
      </c>
      <c r="G950" s="291">
        <v>1614</v>
      </c>
      <c r="H950" s="287">
        <v>0.74140946792303797</v>
      </c>
      <c r="I950" s="211">
        <v>19.122057001239199</v>
      </c>
      <c r="J950" s="211">
        <v>1.4083145508400701</v>
      </c>
      <c r="K950" s="288">
        <v>24959.5587845386</v>
      </c>
    </row>
    <row r="951" spans="2:11" x14ac:dyDescent="0.2">
      <c r="B951">
        <v>13</v>
      </c>
      <c r="C951">
        <v>2771</v>
      </c>
      <c r="D951" s="308" t="s">
        <v>1523</v>
      </c>
      <c r="E951" s="291">
        <v>11245</v>
      </c>
      <c r="F951" s="291">
        <v>3692</v>
      </c>
      <c r="G951" s="291">
        <v>775</v>
      </c>
      <c r="H951" s="287">
        <v>0.32832369942196499</v>
      </c>
      <c r="I951" s="211">
        <v>19.273548387096799</v>
      </c>
      <c r="J951" s="211">
        <v>0.65443972681102303</v>
      </c>
      <c r="K951" s="288">
        <v>7359.17472798996</v>
      </c>
    </row>
    <row r="952" spans="2:11" x14ac:dyDescent="0.2">
      <c r="B952">
        <v>13</v>
      </c>
      <c r="C952">
        <v>2772</v>
      </c>
      <c r="D952" s="308" t="s">
        <v>1524</v>
      </c>
      <c r="E952" s="291">
        <v>2363</v>
      </c>
      <c r="F952" s="291">
        <v>361</v>
      </c>
      <c r="G952" s="291">
        <v>486</v>
      </c>
      <c r="H952" s="287">
        <v>0.15277190012695699</v>
      </c>
      <c r="I952" s="211">
        <v>5.6049382716049401</v>
      </c>
      <c r="J952" s="211">
        <v>-0.40117631174371798</v>
      </c>
      <c r="K952" s="288">
        <v>-947.97962465040496</v>
      </c>
    </row>
    <row r="953" spans="2:11" x14ac:dyDescent="0.2">
      <c r="B953">
        <v>13</v>
      </c>
      <c r="C953">
        <v>2773</v>
      </c>
      <c r="D953" s="308" t="s">
        <v>1525</v>
      </c>
      <c r="E953" s="291">
        <v>19021</v>
      </c>
      <c r="F953" s="291">
        <v>11951</v>
      </c>
      <c r="G953" s="291">
        <v>681</v>
      </c>
      <c r="H953" s="287">
        <v>0.62830555701593005</v>
      </c>
      <c r="I953" s="211">
        <v>45.480176211453703</v>
      </c>
      <c r="J953" s="211">
        <v>2.2794374987757</v>
      </c>
      <c r="K953" s="288">
        <v>43357.180664212698</v>
      </c>
    </row>
    <row r="954" spans="2:11" x14ac:dyDescent="0.2">
      <c r="B954">
        <v>13</v>
      </c>
      <c r="C954">
        <v>2774</v>
      </c>
      <c r="D954" s="308" t="s">
        <v>1526</v>
      </c>
      <c r="E954" s="291">
        <v>1391</v>
      </c>
      <c r="F954" s="291">
        <v>364</v>
      </c>
      <c r="G954" s="291">
        <v>133</v>
      </c>
      <c r="H954" s="287">
        <v>0.26168224299065401</v>
      </c>
      <c r="I954" s="211">
        <v>13.1954887218045</v>
      </c>
      <c r="J954" s="211">
        <v>-2.6415338781769701E-2</v>
      </c>
      <c r="K954" s="288">
        <v>-36.743736245441703</v>
      </c>
    </row>
    <row r="955" spans="2:11" x14ac:dyDescent="0.2">
      <c r="B955">
        <v>13</v>
      </c>
      <c r="C955">
        <v>2775</v>
      </c>
      <c r="D955" s="308" t="s">
        <v>1527</v>
      </c>
      <c r="E955" s="291">
        <v>10008</v>
      </c>
      <c r="F955" s="291">
        <v>3118</v>
      </c>
      <c r="G955" s="291">
        <v>759</v>
      </c>
      <c r="H955" s="287">
        <v>0.311550759392486</v>
      </c>
      <c r="I955" s="211">
        <v>17.293807641633698</v>
      </c>
      <c r="J955" s="211">
        <v>0.51415894124487305</v>
      </c>
      <c r="K955" s="288">
        <v>5145.7026839786904</v>
      </c>
    </row>
    <row r="956" spans="2:11" x14ac:dyDescent="0.2">
      <c r="B956">
        <v>13</v>
      </c>
      <c r="C956">
        <v>2781</v>
      </c>
      <c r="D956" s="308" t="s">
        <v>1528</v>
      </c>
      <c r="E956" s="291">
        <v>694</v>
      </c>
      <c r="F956" s="291">
        <v>101</v>
      </c>
      <c r="G956" s="291">
        <v>708</v>
      </c>
      <c r="H956" s="287">
        <v>0.145533141210375</v>
      </c>
      <c r="I956" s="211">
        <v>1.1228813559322</v>
      </c>
      <c r="J956" s="211">
        <v>-0.63744668975198504</v>
      </c>
      <c r="K956" s="288">
        <v>-442.38800268787799</v>
      </c>
    </row>
    <row r="957" spans="2:11" x14ac:dyDescent="0.2">
      <c r="B957">
        <v>13</v>
      </c>
      <c r="C957">
        <v>2782</v>
      </c>
      <c r="D957" s="308" t="s">
        <v>1529</v>
      </c>
      <c r="E957" s="291">
        <v>1638</v>
      </c>
      <c r="F957" s="291">
        <v>352</v>
      </c>
      <c r="G957" s="291">
        <v>934</v>
      </c>
      <c r="H957" s="287">
        <v>0.21489621489621499</v>
      </c>
      <c r="I957" s="211">
        <v>2.1306209850107098</v>
      </c>
      <c r="J957" s="211">
        <v>-0.47865712997870302</v>
      </c>
      <c r="K957" s="288">
        <v>-784.04037890511495</v>
      </c>
    </row>
    <row r="958" spans="2:11" x14ac:dyDescent="0.2">
      <c r="B958">
        <v>13</v>
      </c>
      <c r="C958">
        <v>2783</v>
      </c>
      <c r="D958" s="308" t="s">
        <v>1530</v>
      </c>
      <c r="E958" s="291">
        <v>261</v>
      </c>
      <c r="F958" s="291">
        <v>37</v>
      </c>
      <c r="G958" s="291">
        <v>288</v>
      </c>
      <c r="H958" s="287">
        <v>0.14176245210728</v>
      </c>
      <c r="I958" s="211">
        <v>1.0347222222222201</v>
      </c>
      <c r="J958" s="211">
        <v>-0.66188039681605104</v>
      </c>
      <c r="K958" s="288">
        <v>-172.75078356898899</v>
      </c>
    </row>
    <row r="959" spans="2:11" x14ac:dyDescent="0.2">
      <c r="B959">
        <v>13</v>
      </c>
      <c r="C959">
        <v>2784</v>
      </c>
      <c r="D959" s="308" t="s">
        <v>1531</v>
      </c>
      <c r="E959" s="291">
        <v>740</v>
      </c>
      <c r="F959" s="291">
        <v>258</v>
      </c>
      <c r="G959" s="291">
        <v>670</v>
      </c>
      <c r="H959" s="287">
        <v>0.34864864864864897</v>
      </c>
      <c r="I959" s="211">
        <v>1.4895522388059701</v>
      </c>
      <c r="J959" s="211">
        <v>-0.37061753710887901</v>
      </c>
      <c r="K959" s="288">
        <v>-274.25697746057102</v>
      </c>
    </row>
    <row r="960" spans="2:11" x14ac:dyDescent="0.2">
      <c r="B960">
        <v>13</v>
      </c>
      <c r="C960">
        <v>2785</v>
      </c>
      <c r="D960" s="308" t="s">
        <v>1532</v>
      </c>
      <c r="E960" s="291">
        <v>1540</v>
      </c>
      <c r="F960" s="291">
        <v>620</v>
      </c>
      <c r="G960" s="291">
        <v>582</v>
      </c>
      <c r="H960" s="287">
        <v>0.40259740259740301</v>
      </c>
      <c r="I960" s="211">
        <v>3.7113402061855698</v>
      </c>
      <c r="J960" s="211">
        <v>-0.19213621152046201</v>
      </c>
      <c r="K960" s="288">
        <v>-295.88976574151098</v>
      </c>
    </row>
    <row r="961" spans="2:11" x14ac:dyDescent="0.2">
      <c r="B961">
        <v>13</v>
      </c>
      <c r="C961">
        <v>2786</v>
      </c>
      <c r="D961" s="308" t="s">
        <v>1533</v>
      </c>
      <c r="E961" s="291">
        <v>1850</v>
      </c>
      <c r="F961" s="291">
        <v>436</v>
      </c>
      <c r="G961" s="291">
        <v>319</v>
      </c>
      <c r="H961" s="287">
        <v>0.23567567567567599</v>
      </c>
      <c r="I961" s="211">
        <v>7.1661442006269596</v>
      </c>
      <c r="J961" s="211">
        <v>-0.26108546562856</v>
      </c>
      <c r="K961" s="288">
        <v>-483.00811141283498</v>
      </c>
    </row>
    <row r="962" spans="2:11" x14ac:dyDescent="0.2">
      <c r="B962">
        <v>13</v>
      </c>
      <c r="C962">
        <v>2787</v>
      </c>
      <c r="D962" s="308" t="s">
        <v>1534</v>
      </c>
      <c r="E962" s="291">
        <v>5535</v>
      </c>
      <c r="F962" s="291">
        <v>3862</v>
      </c>
      <c r="G962" s="291">
        <v>1121</v>
      </c>
      <c r="H962" s="287">
        <v>0.69774164408310702</v>
      </c>
      <c r="I962" s="211">
        <v>8.3826940231935794</v>
      </c>
      <c r="J962" s="211">
        <v>0.49667808099043098</v>
      </c>
      <c r="K962" s="288">
        <v>2749.1131782820398</v>
      </c>
    </row>
    <row r="963" spans="2:11" x14ac:dyDescent="0.2">
      <c r="B963">
        <v>13</v>
      </c>
      <c r="C963">
        <v>2788</v>
      </c>
      <c r="D963" s="308" t="s">
        <v>1535</v>
      </c>
      <c r="E963" s="291">
        <v>1131</v>
      </c>
      <c r="F963" s="291">
        <v>622</v>
      </c>
      <c r="G963" s="291">
        <v>1234</v>
      </c>
      <c r="H963" s="287">
        <v>0.54995579133510197</v>
      </c>
      <c r="I963" s="211">
        <v>1.4205834683954599</v>
      </c>
      <c r="J963" s="211">
        <v>-0.108741380068857</v>
      </c>
      <c r="K963" s="288">
        <v>-122.986500857877</v>
      </c>
    </row>
    <row r="964" spans="2:11" x14ac:dyDescent="0.2">
      <c r="B964">
        <v>13</v>
      </c>
      <c r="C964">
        <v>2789</v>
      </c>
      <c r="D964" s="308" t="s">
        <v>1536</v>
      </c>
      <c r="E964" s="291">
        <v>430</v>
      </c>
      <c r="F964" s="291">
        <v>84</v>
      </c>
      <c r="G964" s="291">
        <v>364</v>
      </c>
      <c r="H964" s="287">
        <v>0.19534883720930199</v>
      </c>
      <c r="I964" s="211">
        <v>1.41208791208791</v>
      </c>
      <c r="J964" s="211">
        <v>-0.57525240483448903</v>
      </c>
      <c r="K964" s="288">
        <v>-247.35853407882999</v>
      </c>
    </row>
    <row r="965" spans="2:11" x14ac:dyDescent="0.2">
      <c r="B965">
        <v>13</v>
      </c>
      <c r="C965">
        <v>2790</v>
      </c>
      <c r="D965" s="308" t="s">
        <v>1537</v>
      </c>
      <c r="E965" s="291">
        <v>281</v>
      </c>
      <c r="F965" s="291">
        <v>54</v>
      </c>
      <c r="G965" s="291">
        <v>665</v>
      </c>
      <c r="H965" s="287">
        <v>0.19217081850533799</v>
      </c>
      <c r="I965" s="211">
        <v>0.50375939849624096</v>
      </c>
      <c r="J965" s="211">
        <v>-0.61802425414970497</v>
      </c>
      <c r="K965" s="288">
        <v>-173.664815416067</v>
      </c>
    </row>
    <row r="966" spans="2:11" x14ac:dyDescent="0.2">
      <c r="B966">
        <v>13</v>
      </c>
      <c r="C966">
        <v>2791</v>
      </c>
      <c r="D966" s="308" t="s">
        <v>1538</v>
      </c>
      <c r="E966" s="291">
        <v>1831</v>
      </c>
      <c r="F966" s="291">
        <v>242</v>
      </c>
      <c r="G966" s="291">
        <v>1001</v>
      </c>
      <c r="H966" s="287">
        <v>0.13216821409066101</v>
      </c>
      <c r="I966" s="211">
        <v>2.0709290709290702</v>
      </c>
      <c r="J966" s="211">
        <v>-0.57597414676993197</v>
      </c>
      <c r="K966" s="288">
        <v>-1054.6086627357499</v>
      </c>
    </row>
    <row r="967" spans="2:11" x14ac:dyDescent="0.2">
      <c r="B967">
        <v>13</v>
      </c>
      <c r="C967">
        <v>2792</v>
      </c>
      <c r="D967" s="308" t="s">
        <v>1539</v>
      </c>
      <c r="E967" s="291">
        <v>1421</v>
      </c>
      <c r="F967" s="291">
        <v>179</v>
      </c>
      <c r="G967" s="291">
        <v>542</v>
      </c>
      <c r="H967" s="287">
        <v>0.12596762843068299</v>
      </c>
      <c r="I967" s="211">
        <v>2.9520295202951998</v>
      </c>
      <c r="J967" s="211">
        <v>-0.56717644269086298</v>
      </c>
      <c r="K967" s="288">
        <v>-805.957725063716</v>
      </c>
    </row>
    <row r="968" spans="2:11" x14ac:dyDescent="0.2">
      <c r="B968">
        <v>13</v>
      </c>
      <c r="C968">
        <v>2793</v>
      </c>
      <c r="D968" s="308" t="s">
        <v>1540</v>
      </c>
      <c r="E968" s="291">
        <v>2274</v>
      </c>
      <c r="F968" s="291">
        <v>1057</v>
      </c>
      <c r="G968" s="291">
        <v>448</v>
      </c>
      <c r="H968" s="287">
        <v>0.464819700967458</v>
      </c>
      <c r="I968" s="211">
        <v>7.4352678571428603</v>
      </c>
      <c r="J968" s="211">
        <v>4.8881442165208101E-2</v>
      </c>
      <c r="K968" s="288">
        <v>111.156399483683</v>
      </c>
    </row>
    <row r="969" spans="2:11" x14ac:dyDescent="0.2">
      <c r="B969">
        <v>13</v>
      </c>
      <c r="C969">
        <v>2821</v>
      </c>
      <c r="D969" s="308" t="s">
        <v>1541</v>
      </c>
      <c r="E969" s="291">
        <v>1657</v>
      </c>
      <c r="F969" s="291">
        <v>559</v>
      </c>
      <c r="G969" s="291">
        <v>996</v>
      </c>
      <c r="H969" s="287">
        <v>0.33735666867833403</v>
      </c>
      <c r="I969" s="211">
        <v>2.22489959839357</v>
      </c>
      <c r="J969" s="211">
        <v>-0.32274277157822301</v>
      </c>
      <c r="K969" s="288">
        <v>-534.78477250511503</v>
      </c>
    </row>
    <row r="970" spans="2:11" x14ac:dyDescent="0.2">
      <c r="B970">
        <v>13</v>
      </c>
      <c r="C970">
        <v>2822</v>
      </c>
      <c r="D970" s="308" t="s">
        <v>1542</v>
      </c>
      <c r="E970" s="291">
        <v>1001</v>
      </c>
      <c r="F970" s="291">
        <v>834</v>
      </c>
      <c r="G970" s="291">
        <v>134</v>
      </c>
      <c r="H970" s="287">
        <v>0.83316683316683304</v>
      </c>
      <c r="I970" s="211">
        <v>13.694029850746301</v>
      </c>
      <c r="J970" s="211">
        <v>0.68503555897306101</v>
      </c>
      <c r="K970" s="288">
        <v>685.72059453203406</v>
      </c>
    </row>
    <row r="971" spans="2:11" x14ac:dyDescent="0.2">
      <c r="B971">
        <v>13</v>
      </c>
      <c r="C971">
        <v>2823</v>
      </c>
      <c r="D971" s="308" t="s">
        <v>1543</v>
      </c>
      <c r="E971" s="291">
        <v>4401</v>
      </c>
      <c r="F971" s="291">
        <v>2592</v>
      </c>
      <c r="G971" s="291">
        <v>1070</v>
      </c>
      <c r="H971" s="287">
        <v>0.58895705521472397</v>
      </c>
      <c r="I971" s="211">
        <v>6.5355140186915897</v>
      </c>
      <c r="J971" s="211">
        <v>0.251151839986472</v>
      </c>
      <c r="K971" s="288">
        <v>1105.31924778046</v>
      </c>
    </row>
    <row r="972" spans="2:11" x14ac:dyDescent="0.2">
      <c r="B972">
        <v>13</v>
      </c>
      <c r="C972">
        <v>2824</v>
      </c>
      <c r="D972" s="308" t="s">
        <v>1544</v>
      </c>
      <c r="E972" s="291">
        <v>6507</v>
      </c>
      <c r="F972" s="291">
        <v>2118</v>
      </c>
      <c r="G972" s="291">
        <v>461</v>
      </c>
      <c r="H972" s="287">
        <v>0.32549562010142902</v>
      </c>
      <c r="I972" s="211">
        <v>18.7093275488069</v>
      </c>
      <c r="J972" s="211">
        <v>0.44931309317729601</v>
      </c>
      <c r="K972" s="288">
        <v>2923.6802973046701</v>
      </c>
    </row>
    <row r="973" spans="2:11" x14ac:dyDescent="0.2">
      <c r="B973">
        <v>13</v>
      </c>
      <c r="C973">
        <v>2825</v>
      </c>
      <c r="D973" s="308" t="s">
        <v>1545</v>
      </c>
      <c r="E973" s="291">
        <v>4404</v>
      </c>
      <c r="F973" s="291">
        <v>1912</v>
      </c>
      <c r="G973" s="291">
        <v>459</v>
      </c>
      <c r="H973" s="287">
        <v>0.43415077202543101</v>
      </c>
      <c r="I973" s="211">
        <v>13.760348583878001</v>
      </c>
      <c r="J973" s="211">
        <v>0.32303563838155602</v>
      </c>
      <c r="K973" s="288">
        <v>1422.64895143237</v>
      </c>
    </row>
    <row r="974" spans="2:11" x14ac:dyDescent="0.2">
      <c r="B974">
        <v>13</v>
      </c>
      <c r="C974">
        <v>2826</v>
      </c>
      <c r="D974" s="308" t="s">
        <v>1546</v>
      </c>
      <c r="E974" s="291">
        <v>1039</v>
      </c>
      <c r="F974" s="291">
        <v>190</v>
      </c>
      <c r="G974" s="291">
        <v>133</v>
      </c>
      <c r="H974" s="287">
        <v>0.18286814244465799</v>
      </c>
      <c r="I974" s="211">
        <v>9.2406015037594003</v>
      </c>
      <c r="J974" s="211">
        <v>-0.28182354856425001</v>
      </c>
      <c r="K974" s="288">
        <v>-292.814666958256</v>
      </c>
    </row>
    <row r="975" spans="2:11" x14ac:dyDescent="0.2">
      <c r="B975">
        <v>13</v>
      </c>
      <c r="C975">
        <v>2827</v>
      </c>
      <c r="D975" s="308" t="s">
        <v>1547</v>
      </c>
      <c r="E975" s="291">
        <v>330</v>
      </c>
      <c r="F975" s="291">
        <v>34</v>
      </c>
      <c r="G975" s="291">
        <v>169</v>
      </c>
      <c r="H975" s="287">
        <v>0.103030303030303</v>
      </c>
      <c r="I975" s="211">
        <v>2.1538461538461502</v>
      </c>
      <c r="J975" s="211">
        <v>-0.66640796853153095</v>
      </c>
      <c r="K975" s="288">
        <v>-219.914629615405</v>
      </c>
    </row>
    <row r="976" spans="2:11" x14ac:dyDescent="0.2">
      <c r="B976">
        <v>13</v>
      </c>
      <c r="C976">
        <v>2828</v>
      </c>
      <c r="D976" s="308" t="s">
        <v>1548</v>
      </c>
      <c r="E976" s="291">
        <v>5054</v>
      </c>
      <c r="F976" s="291">
        <v>1664</v>
      </c>
      <c r="G976" s="291">
        <v>548</v>
      </c>
      <c r="H976" s="287">
        <v>0.32924416303917697</v>
      </c>
      <c r="I976" s="211">
        <v>12.2591240875912</v>
      </c>
      <c r="J976" s="211">
        <v>0.16310280205185601</v>
      </c>
      <c r="K976" s="288">
        <v>824.32156157007796</v>
      </c>
    </row>
    <row r="977" spans="2:11" x14ac:dyDescent="0.2">
      <c r="B977">
        <v>13</v>
      </c>
      <c r="C977">
        <v>2829</v>
      </c>
      <c r="D977" s="308" t="s">
        <v>1549</v>
      </c>
      <c r="E977" s="291">
        <v>14148</v>
      </c>
      <c r="F977" s="291">
        <v>16529</v>
      </c>
      <c r="G977" s="291">
        <v>1799</v>
      </c>
      <c r="H977" s="287">
        <v>1.1682923381396699</v>
      </c>
      <c r="I977" s="211">
        <v>17.052251250694798</v>
      </c>
      <c r="J977" s="211">
        <v>1.7251763600077401</v>
      </c>
      <c r="K977" s="288">
        <v>24407.795141389499</v>
      </c>
    </row>
    <row r="978" spans="2:11" x14ac:dyDescent="0.2">
      <c r="B978">
        <v>13</v>
      </c>
      <c r="C978">
        <v>2830</v>
      </c>
      <c r="D978" s="308" t="s">
        <v>1550</v>
      </c>
      <c r="E978" s="291">
        <v>1405</v>
      </c>
      <c r="F978" s="291">
        <v>166</v>
      </c>
      <c r="G978" s="291">
        <v>314</v>
      </c>
      <c r="H978" s="287">
        <v>0.118149466192171</v>
      </c>
      <c r="I978" s="211">
        <v>5.0031847133758003</v>
      </c>
      <c r="J978" s="211">
        <v>-0.50263896400276398</v>
      </c>
      <c r="K978" s="288">
        <v>-706.20774442388404</v>
      </c>
    </row>
    <row r="979" spans="2:11" x14ac:dyDescent="0.2">
      <c r="B979">
        <v>13</v>
      </c>
      <c r="C979">
        <v>2831</v>
      </c>
      <c r="D979" s="308" t="s">
        <v>1551</v>
      </c>
      <c r="E979" s="291">
        <v>16153</v>
      </c>
      <c r="F979" s="291">
        <v>13561</v>
      </c>
      <c r="G979" s="291">
        <v>1060</v>
      </c>
      <c r="H979" s="287">
        <v>0.83953445180461805</v>
      </c>
      <c r="I979" s="211">
        <v>28.0320754716981</v>
      </c>
      <c r="J979" s="211">
        <v>1.79500249132664</v>
      </c>
      <c r="K979" s="288">
        <v>28994.675242399298</v>
      </c>
    </row>
    <row r="980" spans="2:11" x14ac:dyDescent="0.2">
      <c r="B980">
        <v>13</v>
      </c>
      <c r="C980">
        <v>2832</v>
      </c>
      <c r="D980" s="308" t="s">
        <v>1552</v>
      </c>
      <c r="E980" s="291">
        <v>712</v>
      </c>
      <c r="F980" s="291">
        <v>124</v>
      </c>
      <c r="G980" s="291">
        <v>226</v>
      </c>
      <c r="H980" s="287">
        <v>0.174157303370787</v>
      </c>
      <c r="I980" s="211">
        <v>3.6991150442477898</v>
      </c>
      <c r="J980" s="211">
        <v>-0.50729447095414504</v>
      </c>
      <c r="K980" s="288">
        <v>-361.193663319351</v>
      </c>
    </row>
    <row r="981" spans="2:11" x14ac:dyDescent="0.2">
      <c r="B981">
        <v>13</v>
      </c>
      <c r="C981">
        <v>2833</v>
      </c>
      <c r="D981" s="308" t="s">
        <v>1553</v>
      </c>
      <c r="E981" s="291">
        <v>1306</v>
      </c>
      <c r="F981" s="291">
        <v>222</v>
      </c>
      <c r="G981" s="291">
        <v>354</v>
      </c>
      <c r="H981" s="287">
        <v>0.16998468606431899</v>
      </c>
      <c r="I981" s="211">
        <v>4.3163841807909602</v>
      </c>
      <c r="J981" s="211">
        <v>-0.46724741320319002</v>
      </c>
      <c r="K981" s="288">
        <v>-610.22512164336604</v>
      </c>
    </row>
    <row r="982" spans="2:11" x14ac:dyDescent="0.2">
      <c r="B982">
        <v>13</v>
      </c>
      <c r="C982">
        <v>2834</v>
      </c>
      <c r="D982" s="308" t="s">
        <v>1554</v>
      </c>
      <c r="E982" s="291">
        <v>1542</v>
      </c>
      <c r="F982" s="291">
        <v>398</v>
      </c>
      <c r="G982" s="291">
        <v>779</v>
      </c>
      <c r="H982" s="287">
        <v>0.25810635538262</v>
      </c>
      <c r="I982" s="211">
        <v>2.49037227214377</v>
      </c>
      <c r="J982" s="211">
        <v>-0.41565518282852099</v>
      </c>
      <c r="K982" s="288">
        <v>-640.94029192157996</v>
      </c>
    </row>
    <row r="983" spans="2:11" x14ac:dyDescent="0.2">
      <c r="B983">
        <v>13</v>
      </c>
      <c r="C983">
        <v>2841</v>
      </c>
      <c r="D983" s="308" t="s">
        <v>1555</v>
      </c>
      <c r="E983" s="291">
        <v>581</v>
      </c>
      <c r="F983" s="291">
        <v>120</v>
      </c>
      <c r="G983" s="291">
        <v>389</v>
      </c>
      <c r="H983" s="287">
        <v>0.206540447504303</v>
      </c>
      <c r="I983" s="211">
        <v>1.8020565552699199</v>
      </c>
      <c r="J983" s="211">
        <v>-0.54138644702120997</v>
      </c>
      <c r="K983" s="288">
        <v>-314.545525719323</v>
      </c>
    </row>
    <row r="984" spans="2:11" x14ac:dyDescent="0.2">
      <c r="B984">
        <v>13</v>
      </c>
      <c r="C984">
        <v>2842</v>
      </c>
      <c r="D984" s="308" t="s">
        <v>1556</v>
      </c>
      <c r="E984" s="291">
        <v>799</v>
      </c>
      <c r="F984" s="291">
        <v>572</v>
      </c>
      <c r="G984" s="291">
        <v>224</v>
      </c>
      <c r="H984" s="287">
        <v>0.71589486858573204</v>
      </c>
      <c r="I984" s="211">
        <v>6.12053571428571</v>
      </c>
      <c r="J984" s="211">
        <v>0.25567755005120102</v>
      </c>
      <c r="K984" s="288">
        <v>204.286362490909</v>
      </c>
    </row>
    <row r="985" spans="2:11" x14ac:dyDescent="0.2">
      <c r="B985">
        <v>13</v>
      </c>
      <c r="C985">
        <v>2843</v>
      </c>
      <c r="D985" s="308" t="s">
        <v>1557</v>
      </c>
      <c r="E985" s="291">
        <v>696</v>
      </c>
      <c r="F985" s="291">
        <v>240</v>
      </c>
      <c r="G985" s="291">
        <v>200</v>
      </c>
      <c r="H985" s="287">
        <v>0.34482758620689702</v>
      </c>
      <c r="I985" s="211">
        <v>4.68</v>
      </c>
      <c r="J985" s="211">
        <v>-0.26062953853445697</v>
      </c>
      <c r="K985" s="288">
        <v>-181.398158819982</v>
      </c>
    </row>
    <row r="986" spans="2:11" x14ac:dyDescent="0.2">
      <c r="B986">
        <v>13</v>
      </c>
      <c r="C986">
        <v>2844</v>
      </c>
      <c r="D986" s="308" t="s">
        <v>1558</v>
      </c>
      <c r="E986" s="291">
        <v>999</v>
      </c>
      <c r="F986" s="291">
        <v>236</v>
      </c>
      <c r="G986" s="291">
        <v>886</v>
      </c>
      <c r="H986" s="287">
        <v>0.23623623623623599</v>
      </c>
      <c r="I986" s="211">
        <v>1.3939051918735901</v>
      </c>
      <c r="J986" s="211">
        <v>-0.50350841793298295</v>
      </c>
      <c r="K986" s="288">
        <v>-503.00490951504997</v>
      </c>
    </row>
    <row r="987" spans="2:11" x14ac:dyDescent="0.2">
      <c r="B987">
        <v>13</v>
      </c>
      <c r="C987">
        <v>2845</v>
      </c>
      <c r="D987" s="308" t="s">
        <v>1559</v>
      </c>
      <c r="E987" s="291">
        <v>746</v>
      </c>
      <c r="F987" s="291">
        <v>155</v>
      </c>
      <c r="G987" s="291">
        <v>142</v>
      </c>
      <c r="H987" s="287">
        <v>0.207774798927614</v>
      </c>
      <c r="I987" s="211">
        <v>6.3450704225352101</v>
      </c>
      <c r="J987" s="211">
        <v>-0.36779953080297301</v>
      </c>
      <c r="K987" s="288">
        <v>-274.378449979018</v>
      </c>
    </row>
    <row r="988" spans="2:11" x14ac:dyDescent="0.2">
      <c r="B988">
        <v>13</v>
      </c>
      <c r="C988">
        <v>2846</v>
      </c>
      <c r="D988" s="308" t="s">
        <v>1560</v>
      </c>
      <c r="E988" s="291">
        <v>6013</v>
      </c>
      <c r="F988" s="291">
        <v>2416</v>
      </c>
      <c r="G988" s="291">
        <v>972</v>
      </c>
      <c r="H988" s="287">
        <v>0.40179610843173102</v>
      </c>
      <c r="I988" s="211">
        <v>8.6718106995884803</v>
      </c>
      <c r="J988" s="211">
        <v>0.15876559062288201</v>
      </c>
      <c r="K988" s="288">
        <v>954.65749641538696</v>
      </c>
    </row>
    <row r="989" spans="2:11" x14ac:dyDescent="0.2">
      <c r="B989">
        <v>13</v>
      </c>
      <c r="C989">
        <v>2847</v>
      </c>
      <c r="D989" s="308" t="s">
        <v>1561</v>
      </c>
      <c r="E989" s="291">
        <v>253</v>
      </c>
      <c r="F989" s="291">
        <v>143</v>
      </c>
      <c r="G989" s="291">
        <v>397</v>
      </c>
      <c r="H989" s="287">
        <v>0.565217391304348</v>
      </c>
      <c r="I989" s="211">
        <v>0.99748110831234305</v>
      </c>
      <c r="J989" s="211">
        <v>-0.13881464285897699</v>
      </c>
      <c r="K989" s="288">
        <v>-35.120104643321099</v>
      </c>
    </row>
    <row r="990" spans="2:11" x14ac:dyDescent="0.2">
      <c r="B990">
        <v>13</v>
      </c>
      <c r="C990">
        <v>2848</v>
      </c>
      <c r="D990" s="308" t="s">
        <v>1562</v>
      </c>
      <c r="E990" s="291">
        <v>260</v>
      </c>
      <c r="F990" s="291">
        <v>52</v>
      </c>
      <c r="G990" s="291">
        <v>341</v>
      </c>
      <c r="H990" s="287">
        <v>0.2</v>
      </c>
      <c r="I990" s="211">
        <v>0.91495601173020502</v>
      </c>
      <c r="J990" s="211">
        <v>-0.59412241948631295</v>
      </c>
      <c r="K990" s="288">
        <v>-154.47182906644099</v>
      </c>
    </row>
    <row r="991" spans="2:11" x14ac:dyDescent="0.2">
      <c r="B991">
        <v>13</v>
      </c>
      <c r="C991">
        <v>2849</v>
      </c>
      <c r="D991" s="308" t="s">
        <v>1563</v>
      </c>
      <c r="E991" s="291">
        <v>2096</v>
      </c>
      <c r="F991" s="291">
        <v>987</v>
      </c>
      <c r="G991" s="291">
        <v>310</v>
      </c>
      <c r="H991" s="287">
        <v>0.47089694656488601</v>
      </c>
      <c r="I991" s="211">
        <v>9.9451612903225808</v>
      </c>
      <c r="J991" s="211">
        <v>0.14118483649444599</v>
      </c>
      <c r="K991" s="288">
        <v>295.92341729235801</v>
      </c>
    </row>
    <row r="992" spans="2:11" x14ac:dyDescent="0.2">
      <c r="B992">
        <v>13</v>
      </c>
      <c r="C992">
        <v>2850</v>
      </c>
      <c r="D992" s="308" t="s">
        <v>1564</v>
      </c>
      <c r="E992" s="291">
        <v>523</v>
      </c>
      <c r="F992" s="291">
        <v>62</v>
      </c>
      <c r="G992" s="291">
        <v>143</v>
      </c>
      <c r="H992" s="287">
        <v>0.118546845124283</v>
      </c>
      <c r="I992" s="211">
        <v>4.0909090909090899</v>
      </c>
      <c r="J992" s="211">
        <v>-0.56913186096733404</v>
      </c>
      <c r="K992" s="288">
        <v>-297.65596328591602</v>
      </c>
    </row>
    <row r="993" spans="2:11" x14ac:dyDescent="0.2">
      <c r="B993">
        <v>13</v>
      </c>
      <c r="C993">
        <v>2851</v>
      </c>
      <c r="D993" s="308" t="s">
        <v>1565</v>
      </c>
      <c r="E993" s="291">
        <v>157</v>
      </c>
      <c r="F993" s="291">
        <v>20</v>
      </c>
      <c r="G993" s="291">
        <v>160</v>
      </c>
      <c r="H993" s="287">
        <v>0.12738853503184699</v>
      </c>
      <c r="I993" s="211">
        <v>1.10625</v>
      </c>
      <c r="J993" s="211">
        <v>-0.68105611876929595</v>
      </c>
      <c r="K993" s="288">
        <v>-106.92581064677999</v>
      </c>
    </row>
    <row r="994" spans="2:11" x14ac:dyDescent="0.2">
      <c r="B994">
        <v>13</v>
      </c>
      <c r="C994">
        <v>2852</v>
      </c>
      <c r="D994" s="308" t="s">
        <v>1566</v>
      </c>
      <c r="E994" s="291">
        <v>1314</v>
      </c>
      <c r="F994" s="291">
        <v>403</v>
      </c>
      <c r="G994" s="291">
        <v>814</v>
      </c>
      <c r="H994" s="287">
        <v>0.30669710806697098</v>
      </c>
      <c r="I994" s="211">
        <v>2.1093366093366099</v>
      </c>
      <c r="J994" s="211">
        <v>-0.37805718723194798</v>
      </c>
      <c r="K994" s="288">
        <v>-496.76714402277901</v>
      </c>
    </row>
    <row r="995" spans="2:11" x14ac:dyDescent="0.2">
      <c r="B995">
        <v>13</v>
      </c>
      <c r="C995">
        <v>2853</v>
      </c>
      <c r="D995" s="308" t="s">
        <v>1567</v>
      </c>
      <c r="E995" s="291">
        <v>944</v>
      </c>
      <c r="F995" s="291">
        <v>227</v>
      </c>
      <c r="G995" s="291">
        <v>502</v>
      </c>
      <c r="H995" s="287">
        <v>0.240466101694915</v>
      </c>
      <c r="I995" s="211">
        <v>2.3326693227091599</v>
      </c>
      <c r="J995" s="211">
        <v>-0.46611743988987098</v>
      </c>
      <c r="K995" s="288">
        <v>-440.01486325603798</v>
      </c>
    </row>
    <row r="996" spans="2:11" x14ac:dyDescent="0.2">
      <c r="B996">
        <v>13</v>
      </c>
      <c r="C996">
        <v>2854</v>
      </c>
      <c r="D996" s="308" t="s">
        <v>1568</v>
      </c>
      <c r="E996" s="291">
        <v>257</v>
      </c>
      <c r="F996" s="291">
        <v>76</v>
      </c>
      <c r="G996" s="291">
        <v>173</v>
      </c>
      <c r="H996" s="287">
        <v>0.29571984435797699</v>
      </c>
      <c r="I996" s="211">
        <v>1.92485549132948</v>
      </c>
      <c r="J996" s="211">
        <v>-0.43877805944235299</v>
      </c>
      <c r="K996" s="288">
        <v>-112.765961276685</v>
      </c>
    </row>
    <row r="997" spans="2:11" x14ac:dyDescent="0.2">
      <c r="B997">
        <v>13</v>
      </c>
      <c r="C997">
        <v>2855</v>
      </c>
      <c r="D997" s="308" t="s">
        <v>1569</v>
      </c>
      <c r="E997" s="291">
        <v>486</v>
      </c>
      <c r="F997" s="291">
        <v>143</v>
      </c>
      <c r="G997" s="291">
        <v>720</v>
      </c>
      <c r="H997" s="287">
        <v>0.29423868312757201</v>
      </c>
      <c r="I997" s="211">
        <v>0.87361111111111101</v>
      </c>
      <c r="J997" s="211">
        <v>-0.47021835895060798</v>
      </c>
      <c r="K997" s="288">
        <v>-228.526122449995</v>
      </c>
    </row>
    <row r="998" spans="2:11" x14ac:dyDescent="0.2">
      <c r="B998">
        <v>13</v>
      </c>
      <c r="C998">
        <v>2856</v>
      </c>
      <c r="D998" s="308" t="s">
        <v>1570</v>
      </c>
      <c r="E998" s="291">
        <v>2176</v>
      </c>
      <c r="F998" s="291">
        <v>801</v>
      </c>
      <c r="G998" s="291">
        <v>693</v>
      </c>
      <c r="H998" s="287">
        <v>0.36810661764705899</v>
      </c>
      <c r="I998" s="211">
        <v>4.2958152958153004</v>
      </c>
      <c r="J998" s="211">
        <v>-0.18925003996400799</v>
      </c>
      <c r="K998" s="288">
        <v>-411.80808696168202</v>
      </c>
    </row>
    <row r="999" spans="2:11" x14ac:dyDescent="0.2">
      <c r="B999">
        <v>13</v>
      </c>
      <c r="C999">
        <v>2857</v>
      </c>
      <c r="D999" s="308" t="s">
        <v>1571</v>
      </c>
      <c r="E999" s="291">
        <v>601</v>
      </c>
      <c r="F999" s="291">
        <v>94</v>
      </c>
      <c r="G999" s="291">
        <v>291</v>
      </c>
      <c r="H999" s="287">
        <v>0.15640599001663899</v>
      </c>
      <c r="I999" s="211">
        <v>2.38831615120275</v>
      </c>
      <c r="J999" s="211">
        <v>-0.58135727876684795</v>
      </c>
      <c r="K999" s="288">
        <v>-349.39572453887598</v>
      </c>
    </row>
    <row r="1000" spans="2:11" x14ac:dyDescent="0.2">
      <c r="B1000">
        <v>13</v>
      </c>
      <c r="C1000">
        <v>2858</v>
      </c>
      <c r="D1000" s="308" t="s">
        <v>1572</v>
      </c>
      <c r="E1000" s="291">
        <v>767</v>
      </c>
      <c r="F1000" s="291">
        <v>175</v>
      </c>
      <c r="G1000" s="291">
        <v>1088</v>
      </c>
      <c r="H1000" s="287">
        <v>0.22816166883963501</v>
      </c>
      <c r="I1000" s="211">
        <v>0.86580882352941202</v>
      </c>
      <c r="J1000" s="211">
        <v>-0.54164643325659001</v>
      </c>
      <c r="K1000" s="288">
        <v>-415.44281430780501</v>
      </c>
    </row>
    <row r="1001" spans="2:11" x14ac:dyDescent="0.2">
      <c r="B1001">
        <v>13</v>
      </c>
      <c r="C1001">
        <v>2859</v>
      </c>
      <c r="D1001" s="308" t="s">
        <v>1573</v>
      </c>
      <c r="E1001" s="291">
        <v>388</v>
      </c>
      <c r="F1001" s="291">
        <v>127</v>
      </c>
      <c r="G1001" s="291">
        <v>227</v>
      </c>
      <c r="H1001" s="287">
        <v>0.32731958762886598</v>
      </c>
      <c r="I1001" s="211">
        <v>2.2687224669603498</v>
      </c>
      <c r="J1001" s="211">
        <v>-0.38206929305307102</v>
      </c>
      <c r="K1001" s="288">
        <v>-148.242885704592</v>
      </c>
    </row>
    <row r="1002" spans="2:11" x14ac:dyDescent="0.2">
      <c r="B1002">
        <v>13</v>
      </c>
      <c r="C1002">
        <v>2860</v>
      </c>
      <c r="D1002" s="308" t="s">
        <v>1574</v>
      </c>
      <c r="E1002" s="291">
        <v>777</v>
      </c>
      <c r="F1002" s="291">
        <v>142</v>
      </c>
      <c r="G1002" s="291">
        <v>496</v>
      </c>
      <c r="H1002" s="287">
        <v>0.18275418275418301</v>
      </c>
      <c r="I1002" s="211">
        <v>1.8528225806451599</v>
      </c>
      <c r="J1002" s="211">
        <v>-0.56152026870147498</v>
      </c>
      <c r="K1002" s="288">
        <v>-436.30124878104601</v>
      </c>
    </row>
    <row r="1003" spans="2:11" x14ac:dyDescent="0.2">
      <c r="B1003">
        <v>13</v>
      </c>
      <c r="C1003">
        <v>2861</v>
      </c>
      <c r="D1003" s="308" t="s">
        <v>1575</v>
      </c>
      <c r="E1003" s="291">
        <v>6733</v>
      </c>
      <c r="F1003" s="291">
        <v>4069</v>
      </c>
      <c r="G1003" s="291">
        <v>888</v>
      </c>
      <c r="H1003" s="287">
        <v>0.60433684835882995</v>
      </c>
      <c r="I1003" s="211">
        <v>12.1644144144144</v>
      </c>
      <c r="J1003" s="211">
        <v>0.56468599285425602</v>
      </c>
      <c r="K1003" s="288">
        <v>3802.0307898877099</v>
      </c>
    </row>
    <row r="1004" spans="2:11" x14ac:dyDescent="0.2">
      <c r="B1004">
        <v>13</v>
      </c>
      <c r="C1004">
        <v>2862</v>
      </c>
      <c r="D1004" s="308" t="s">
        <v>1576</v>
      </c>
      <c r="E1004" s="291">
        <v>858</v>
      </c>
      <c r="F1004" s="291">
        <v>125</v>
      </c>
      <c r="G1004" s="291">
        <v>235</v>
      </c>
      <c r="H1004" s="287">
        <v>0.145687645687646</v>
      </c>
      <c r="I1004" s="211">
        <v>4.1829787234042604</v>
      </c>
      <c r="J1004" s="211">
        <v>-0.51934060228714396</v>
      </c>
      <c r="K1004" s="288">
        <v>-445.59423676236997</v>
      </c>
    </row>
    <row r="1005" spans="2:11" x14ac:dyDescent="0.2">
      <c r="B1005">
        <v>13</v>
      </c>
      <c r="C1005">
        <v>2863</v>
      </c>
      <c r="D1005" s="308" t="s">
        <v>1577</v>
      </c>
      <c r="E1005" s="291">
        <v>934</v>
      </c>
      <c r="F1005" s="291">
        <v>357</v>
      </c>
      <c r="G1005" s="291">
        <v>469</v>
      </c>
      <c r="H1005" s="287">
        <v>0.382226980728051</v>
      </c>
      <c r="I1005" s="211">
        <v>2.75266524520256</v>
      </c>
      <c r="J1005" s="211">
        <v>-0.27551089846106203</v>
      </c>
      <c r="K1005" s="288">
        <v>-257.32717916263198</v>
      </c>
    </row>
    <row r="1006" spans="2:11" x14ac:dyDescent="0.2">
      <c r="B1006">
        <v>13</v>
      </c>
      <c r="C1006">
        <v>2864</v>
      </c>
      <c r="D1006" s="308" t="s">
        <v>1578</v>
      </c>
      <c r="E1006" s="291">
        <v>1419</v>
      </c>
      <c r="F1006" s="291">
        <v>320</v>
      </c>
      <c r="G1006" s="291">
        <v>229</v>
      </c>
      <c r="H1006" s="287">
        <v>0.22551092318534199</v>
      </c>
      <c r="I1006" s="211">
        <v>7.5938864628821001</v>
      </c>
      <c r="J1006" s="211">
        <v>-0.27454327996697497</v>
      </c>
      <c r="K1006" s="288">
        <v>-389.57691427313699</v>
      </c>
    </row>
    <row r="1007" spans="2:11" x14ac:dyDescent="0.2">
      <c r="B1007">
        <v>13</v>
      </c>
      <c r="C1007">
        <v>2865</v>
      </c>
      <c r="D1007" s="308" t="s">
        <v>1579</v>
      </c>
      <c r="E1007" s="291">
        <v>709</v>
      </c>
      <c r="F1007" s="291">
        <v>188</v>
      </c>
      <c r="G1007" s="291">
        <v>588</v>
      </c>
      <c r="H1007" s="287">
        <v>0.26516220028208698</v>
      </c>
      <c r="I1007" s="211">
        <v>1.52551020408163</v>
      </c>
      <c r="J1007" s="211">
        <v>-0.47394351069180901</v>
      </c>
      <c r="K1007" s="288">
        <v>-336.02594908049298</v>
      </c>
    </row>
    <row r="1008" spans="2:11" x14ac:dyDescent="0.2">
      <c r="B1008">
        <v>13</v>
      </c>
      <c r="C1008">
        <v>2866</v>
      </c>
      <c r="D1008" s="308" t="s">
        <v>1580</v>
      </c>
      <c r="E1008" s="291">
        <v>609</v>
      </c>
      <c r="F1008" s="291">
        <v>142</v>
      </c>
      <c r="G1008" s="291">
        <v>697</v>
      </c>
      <c r="H1008" s="287">
        <v>0.23316912972085399</v>
      </c>
      <c r="I1008" s="211">
        <v>1.07747489239598</v>
      </c>
      <c r="J1008" s="211">
        <v>-0.53375578364068199</v>
      </c>
      <c r="K1008" s="288">
        <v>-325.05727223717599</v>
      </c>
    </row>
    <row r="1009" spans="2:11" x14ac:dyDescent="0.2">
      <c r="B1009">
        <v>13</v>
      </c>
      <c r="C1009">
        <v>2867</v>
      </c>
      <c r="D1009" s="308" t="s">
        <v>1581</v>
      </c>
      <c r="E1009" s="291">
        <v>421</v>
      </c>
      <c r="F1009" s="291">
        <v>124</v>
      </c>
      <c r="G1009" s="291">
        <v>319</v>
      </c>
      <c r="H1009" s="287">
        <v>0.29453681710213803</v>
      </c>
      <c r="I1009" s="211">
        <v>1.7084639498432601</v>
      </c>
      <c r="J1009" s="211">
        <v>-0.44187276103707801</v>
      </c>
      <c r="K1009" s="288">
        <v>-186.02843239660999</v>
      </c>
    </row>
    <row r="1010" spans="2:11" x14ac:dyDescent="0.2">
      <c r="B1010">
        <v>13</v>
      </c>
      <c r="C1010">
        <v>2868</v>
      </c>
      <c r="D1010" s="308" t="s">
        <v>1582</v>
      </c>
      <c r="E1010" s="291">
        <v>485</v>
      </c>
      <c r="F1010" s="291">
        <v>122</v>
      </c>
      <c r="G1010" s="291">
        <v>791</v>
      </c>
      <c r="H1010" s="287">
        <v>0.25154639175257698</v>
      </c>
      <c r="I1010" s="211">
        <v>0.76738305941845797</v>
      </c>
      <c r="J1010" s="211">
        <v>-0.52703507751366596</v>
      </c>
      <c r="K1010" s="288">
        <v>-255.612012594128</v>
      </c>
    </row>
    <row r="1011" spans="2:11" x14ac:dyDescent="0.2">
      <c r="B1011">
        <v>13</v>
      </c>
      <c r="C1011">
        <v>2869</v>
      </c>
      <c r="D1011" s="308" t="s">
        <v>1583</v>
      </c>
      <c r="E1011" s="291">
        <v>2498</v>
      </c>
      <c r="F1011" s="291">
        <v>583</v>
      </c>
      <c r="G1011" s="291">
        <v>685</v>
      </c>
      <c r="H1011" s="287">
        <v>0.23338670936749401</v>
      </c>
      <c r="I1011" s="211">
        <v>4.4978102189781</v>
      </c>
      <c r="J1011" s="211">
        <v>-0.33651684521321701</v>
      </c>
      <c r="K1011" s="288">
        <v>-840.61907934261706</v>
      </c>
    </row>
    <row r="1012" spans="2:11" x14ac:dyDescent="0.2">
      <c r="B1012">
        <v>13</v>
      </c>
      <c r="C1012">
        <v>2881</v>
      </c>
      <c r="D1012" s="308" t="s">
        <v>1584</v>
      </c>
      <c r="E1012" s="291">
        <v>561</v>
      </c>
      <c r="F1012" s="291">
        <v>94</v>
      </c>
      <c r="G1012" s="291">
        <v>346</v>
      </c>
      <c r="H1012" s="287">
        <v>0.16755793226381499</v>
      </c>
      <c r="I1012" s="211">
        <v>1.89306358381503</v>
      </c>
      <c r="J1012" s="211">
        <v>-0.58713596169295301</v>
      </c>
      <c r="K1012" s="288">
        <v>-329.38327450974703</v>
      </c>
    </row>
    <row r="1013" spans="2:11" x14ac:dyDescent="0.2">
      <c r="B1013">
        <v>13</v>
      </c>
      <c r="C1013">
        <v>2882</v>
      </c>
      <c r="D1013" s="308" t="s">
        <v>1585</v>
      </c>
      <c r="E1013" s="291">
        <v>641</v>
      </c>
      <c r="F1013" s="291">
        <v>195</v>
      </c>
      <c r="G1013" s="291">
        <v>660</v>
      </c>
      <c r="H1013" s="287">
        <v>0.30421216848673899</v>
      </c>
      <c r="I1013" s="211">
        <v>1.2666666666666699</v>
      </c>
      <c r="J1013" s="211">
        <v>-0.43759639337976902</v>
      </c>
      <c r="K1013" s="288">
        <v>-280.49928815643199</v>
      </c>
    </row>
    <row r="1014" spans="2:11" x14ac:dyDescent="0.2">
      <c r="B1014">
        <v>13</v>
      </c>
      <c r="C1014">
        <v>2883</v>
      </c>
      <c r="D1014" s="308" t="s">
        <v>1586</v>
      </c>
      <c r="E1014" s="291">
        <v>775</v>
      </c>
      <c r="F1014" s="291">
        <v>162</v>
      </c>
      <c r="G1014" s="291">
        <v>738</v>
      </c>
      <c r="H1014" s="287">
        <v>0.209032258064516</v>
      </c>
      <c r="I1014" s="211">
        <v>1.2696476964769601</v>
      </c>
      <c r="J1014" s="211">
        <v>-0.55031109368430997</v>
      </c>
      <c r="K1014" s="288">
        <v>-426.49109760533997</v>
      </c>
    </row>
    <row r="1015" spans="2:11" x14ac:dyDescent="0.2">
      <c r="B1015">
        <v>13</v>
      </c>
      <c r="C1015">
        <v>2884</v>
      </c>
      <c r="D1015" s="308" t="s">
        <v>1587</v>
      </c>
      <c r="E1015" s="291">
        <v>1623</v>
      </c>
      <c r="F1015" s="291">
        <v>382</v>
      </c>
      <c r="G1015" s="291">
        <v>960</v>
      </c>
      <c r="H1015" s="287">
        <v>0.235366605052372</v>
      </c>
      <c r="I1015" s="211">
        <v>2.0885416666666701</v>
      </c>
      <c r="J1015" s="211">
        <v>-0.455399370956242</v>
      </c>
      <c r="K1015" s="288">
        <v>-739.11317906197996</v>
      </c>
    </row>
    <row r="1016" spans="2:11" x14ac:dyDescent="0.2">
      <c r="B1016">
        <v>13</v>
      </c>
      <c r="C1016">
        <v>2885</v>
      </c>
      <c r="D1016" s="308" t="s">
        <v>1588</v>
      </c>
      <c r="E1016" s="291">
        <v>520</v>
      </c>
      <c r="F1016" s="291">
        <v>370</v>
      </c>
      <c r="G1016" s="291">
        <v>1117</v>
      </c>
      <c r="H1016" s="287">
        <v>0.71153846153846201</v>
      </c>
      <c r="I1016" s="211">
        <v>0.79677708146821802</v>
      </c>
      <c r="J1016" s="211">
        <v>4.5380382523090797E-2</v>
      </c>
      <c r="K1016" s="288">
        <v>23.5977989120072</v>
      </c>
    </row>
    <row r="1017" spans="2:11" x14ac:dyDescent="0.2">
      <c r="B1017">
        <v>13</v>
      </c>
      <c r="C1017">
        <v>2886</v>
      </c>
      <c r="D1017" s="308" t="s">
        <v>1589</v>
      </c>
      <c r="E1017" s="291">
        <v>2457</v>
      </c>
      <c r="F1017" s="291">
        <v>879</v>
      </c>
      <c r="G1017" s="291">
        <v>593</v>
      </c>
      <c r="H1017" s="287">
        <v>0.35775335775335798</v>
      </c>
      <c r="I1017" s="211">
        <v>5.6256323777402999</v>
      </c>
      <c r="J1017" s="211">
        <v>-0.14282391941832401</v>
      </c>
      <c r="K1017" s="288">
        <v>-350.91837001082303</v>
      </c>
    </row>
    <row r="1018" spans="2:11" x14ac:dyDescent="0.2">
      <c r="B1018">
        <v>13</v>
      </c>
      <c r="C1018">
        <v>2887</v>
      </c>
      <c r="D1018" s="308" t="s">
        <v>1590</v>
      </c>
      <c r="E1018" s="291">
        <v>503</v>
      </c>
      <c r="F1018" s="291">
        <v>74</v>
      </c>
      <c r="G1018" s="291">
        <v>403</v>
      </c>
      <c r="H1018" s="287">
        <v>0.14711729622266401</v>
      </c>
      <c r="I1018" s="211">
        <v>1.4317617866004999</v>
      </c>
      <c r="J1018" s="211">
        <v>-0.63151210466861396</v>
      </c>
      <c r="K1018" s="288">
        <v>-317.65058864831298</v>
      </c>
    </row>
    <row r="1019" spans="2:11" x14ac:dyDescent="0.2">
      <c r="B1019">
        <v>13</v>
      </c>
      <c r="C1019">
        <v>2888</v>
      </c>
      <c r="D1019" s="308" t="s">
        <v>1591</v>
      </c>
      <c r="E1019" s="291">
        <v>955</v>
      </c>
      <c r="F1019" s="291">
        <v>381</v>
      </c>
      <c r="G1019" s="291">
        <v>1566</v>
      </c>
      <c r="H1019" s="287">
        <v>0.398952879581152</v>
      </c>
      <c r="I1019" s="211">
        <v>0.85312899106002504</v>
      </c>
      <c r="J1019" s="211">
        <v>-0.323287333956087</v>
      </c>
      <c r="K1019" s="288">
        <v>-308.73940392806298</v>
      </c>
    </row>
    <row r="1020" spans="2:11" x14ac:dyDescent="0.2">
      <c r="B1020">
        <v>13</v>
      </c>
      <c r="C1020">
        <v>2889</v>
      </c>
      <c r="D1020" s="308" t="s">
        <v>1592</v>
      </c>
      <c r="E1020" s="291">
        <v>333</v>
      </c>
      <c r="F1020" s="291">
        <v>79</v>
      </c>
      <c r="G1020" s="291">
        <v>730</v>
      </c>
      <c r="H1020" s="287">
        <v>0.237237237237237</v>
      </c>
      <c r="I1020" s="211">
        <v>0.56438356164383596</v>
      </c>
      <c r="J1020" s="211">
        <v>-0.557980786333092</v>
      </c>
      <c r="K1020" s="288">
        <v>-185.80760184892</v>
      </c>
    </row>
    <row r="1021" spans="2:11" x14ac:dyDescent="0.2">
      <c r="B1021">
        <v>13</v>
      </c>
      <c r="C1021">
        <v>2890</v>
      </c>
      <c r="D1021" s="308" t="s">
        <v>1593</v>
      </c>
      <c r="E1021" s="291">
        <v>166</v>
      </c>
      <c r="F1021" s="291">
        <v>85</v>
      </c>
      <c r="G1021" s="291">
        <v>194</v>
      </c>
      <c r="H1021" s="287">
        <v>0.51204819277108404</v>
      </c>
      <c r="I1021" s="211">
        <v>1.2938144329896899</v>
      </c>
      <c r="J1021" s="211">
        <v>-0.19721244942559199</v>
      </c>
      <c r="K1021" s="288">
        <v>-32.737266604648298</v>
      </c>
    </row>
    <row r="1022" spans="2:11" x14ac:dyDescent="0.2">
      <c r="B1022">
        <v>13</v>
      </c>
      <c r="C1022">
        <v>2891</v>
      </c>
      <c r="D1022" s="308" t="s">
        <v>1594</v>
      </c>
      <c r="E1022" s="291">
        <v>1825</v>
      </c>
      <c r="F1022" s="291">
        <v>812</v>
      </c>
      <c r="G1022" s="291">
        <v>435</v>
      </c>
      <c r="H1022" s="287">
        <v>0.44493150684931498</v>
      </c>
      <c r="I1022" s="211">
        <v>6.0620689655172404</v>
      </c>
      <c r="J1022" s="211">
        <v>-4.3020789077453297E-2</v>
      </c>
      <c r="K1022" s="288">
        <v>-78.5129400663523</v>
      </c>
    </row>
    <row r="1023" spans="2:11" x14ac:dyDescent="0.2">
      <c r="B1023">
        <v>13</v>
      </c>
      <c r="C1023">
        <v>2892</v>
      </c>
      <c r="D1023" s="308" t="s">
        <v>1595</v>
      </c>
      <c r="E1023" s="291">
        <v>2430</v>
      </c>
      <c r="F1023" s="291">
        <v>897</v>
      </c>
      <c r="G1023" s="291">
        <v>626</v>
      </c>
      <c r="H1023" s="287">
        <v>0.36913580246913602</v>
      </c>
      <c r="I1023" s="211">
        <v>5.3146964856230001</v>
      </c>
      <c r="J1023" s="211">
        <v>-0.14109541726668401</v>
      </c>
      <c r="K1023" s="288">
        <v>-342.86186395804202</v>
      </c>
    </row>
    <row r="1024" spans="2:11" x14ac:dyDescent="0.2">
      <c r="B1024">
        <v>13</v>
      </c>
      <c r="C1024">
        <v>2893</v>
      </c>
      <c r="D1024" s="308" t="s">
        <v>1596</v>
      </c>
      <c r="E1024" s="291">
        <v>1591</v>
      </c>
      <c r="F1024" s="291">
        <v>518</v>
      </c>
      <c r="G1024" s="291">
        <v>917</v>
      </c>
      <c r="H1024" s="287">
        <v>0.32558139534883701</v>
      </c>
      <c r="I1024" s="211">
        <v>2.2998909487459098</v>
      </c>
      <c r="J1024" s="211">
        <v>-0.33712001837098898</v>
      </c>
      <c r="K1024" s="288">
        <v>-536.357949228243</v>
      </c>
    </row>
    <row r="1025" spans="2:11" x14ac:dyDescent="0.2">
      <c r="B1025">
        <v>13</v>
      </c>
      <c r="C1025">
        <v>2894</v>
      </c>
      <c r="D1025" s="308" t="s">
        <v>1597</v>
      </c>
      <c r="E1025" s="291">
        <v>408</v>
      </c>
      <c r="F1025" s="291">
        <v>96</v>
      </c>
      <c r="G1025" s="291">
        <v>368</v>
      </c>
      <c r="H1025" s="287">
        <v>0.23529411764705899</v>
      </c>
      <c r="I1025" s="211">
        <v>1.3695652173913</v>
      </c>
      <c r="J1025" s="211">
        <v>-0.52814570293284302</v>
      </c>
      <c r="K1025" s="288">
        <v>-215.48344679659999</v>
      </c>
    </row>
    <row r="1026" spans="2:11" x14ac:dyDescent="0.2">
      <c r="B1026">
        <v>13</v>
      </c>
      <c r="C1026">
        <v>2895</v>
      </c>
      <c r="D1026" s="308" t="s">
        <v>1598</v>
      </c>
      <c r="E1026" s="291">
        <v>1179</v>
      </c>
      <c r="F1026" s="291">
        <v>453</v>
      </c>
      <c r="G1026" s="291">
        <v>826</v>
      </c>
      <c r="H1026" s="287">
        <v>0.38422391857506399</v>
      </c>
      <c r="I1026" s="211">
        <v>1.9757869249394699</v>
      </c>
      <c r="J1026" s="211">
        <v>-0.29201960898513402</v>
      </c>
      <c r="K1026" s="288">
        <v>-344.29111899347299</v>
      </c>
    </row>
    <row r="1027" spans="2:11" x14ac:dyDescent="0.2">
      <c r="B1027">
        <v>14</v>
      </c>
      <c r="C1027">
        <v>2901</v>
      </c>
      <c r="D1027" s="308" t="s">
        <v>1599</v>
      </c>
      <c r="E1027" s="291">
        <v>828</v>
      </c>
      <c r="F1027" s="291">
        <v>223</v>
      </c>
      <c r="G1027" s="291">
        <v>718</v>
      </c>
      <c r="H1027" s="287">
        <v>0.26932367149758502</v>
      </c>
      <c r="I1027" s="211">
        <v>1.46378830083565</v>
      </c>
      <c r="J1027" s="211">
        <v>-0.46649177414222798</v>
      </c>
      <c r="K1027" s="288">
        <v>-386.25518898976497</v>
      </c>
    </row>
    <row r="1028" spans="2:11" x14ac:dyDescent="0.2">
      <c r="B1028">
        <v>14</v>
      </c>
      <c r="C1028">
        <v>2903</v>
      </c>
      <c r="D1028" s="308" t="s">
        <v>1600</v>
      </c>
      <c r="E1028" s="291">
        <v>1444</v>
      </c>
      <c r="F1028" s="291">
        <v>294</v>
      </c>
      <c r="G1028" s="291">
        <v>684</v>
      </c>
      <c r="H1028" s="287">
        <v>0.203601108033241</v>
      </c>
      <c r="I1028" s="211">
        <v>2.5409356725146202</v>
      </c>
      <c r="J1028" s="211">
        <v>-0.48509584328733601</v>
      </c>
      <c r="K1028" s="288">
        <v>-700.47839770691303</v>
      </c>
    </row>
    <row r="1029" spans="2:11" x14ac:dyDescent="0.2">
      <c r="B1029">
        <v>14</v>
      </c>
      <c r="C1029">
        <v>2904</v>
      </c>
      <c r="D1029" s="308" t="s">
        <v>1601</v>
      </c>
      <c r="E1029" s="291">
        <v>2131</v>
      </c>
      <c r="F1029" s="291">
        <v>872</v>
      </c>
      <c r="G1029" s="291">
        <v>1777</v>
      </c>
      <c r="H1029" s="287">
        <v>0.40919755983106498</v>
      </c>
      <c r="I1029" s="211">
        <v>1.6899268429938099</v>
      </c>
      <c r="J1029" s="211">
        <v>-0.23512741663696701</v>
      </c>
      <c r="K1029" s="288">
        <v>-501.05652485337799</v>
      </c>
    </row>
    <row r="1030" spans="2:11" x14ac:dyDescent="0.2">
      <c r="B1030">
        <v>14</v>
      </c>
      <c r="C1030">
        <v>2914</v>
      </c>
      <c r="D1030" s="308" t="s">
        <v>1602</v>
      </c>
      <c r="E1030" s="291">
        <v>360</v>
      </c>
      <c r="F1030" s="291">
        <v>73</v>
      </c>
      <c r="G1030" s="291">
        <v>401</v>
      </c>
      <c r="H1030" s="287">
        <v>0.202777777777778</v>
      </c>
      <c r="I1030" s="211">
        <v>1.07980049875312</v>
      </c>
      <c r="J1030" s="211">
        <v>-0.580844965090343</v>
      </c>
      <c r="K1030" s="288">
        <v>-209.10418743252399</v>
      </c>
    </row>
    <row r="1031" spans="2:11" x14ac:dyDescent="0.2">
      <c r="B1031">
        <v>14</v>
      </c>
      <c r="C1031">
        <v>2915</v>
      </c>
      <c r="D1031" s="308" t="s">
        <v>1603</v>
      </c>
      <c r="E1031" s="291">
        <v>982</v>
      </c>
      <c r="F1031" s="291">
        <v>215</v>
      </c>
      <c r="G1031" s="291">
        <v>571</v>
      </c>
      <c r="H1031" s="287">
        <v>0.21894093686354399</v>
      </c>
      <c r="I1031" s="211">
        <v>2.0963222416812601</v>
      </c>
      <c r="J1031" s="211">
        <v>-0.49996186417909999</v>
      </c>
      <c r="K1031" s="288">
        <v>-490.96255062387598</v>
      </c>
    </row>
    <row r="1032" spans="2:11" x14ac:dyDescent="0.2">
      <c r="B1032">
        <v>14</v>
      </c>
      <c r="C1032">
        <v>2917</v>
      </c>
      <c r="D1032" s="308" t="s">
        <v>1604</v>
      </c>
      <c r="E1032" s="291">
        <v>765</v>
      </c>
      <c r="F1032" s="291">
        <v>150</v>
      </c>
      <c r="G1032" s="291">
        <v>487</v>
      </c>
      <c r="H1032" s="287">
        <v>0.19607843137254899</v>
      </c>
      <c r="I1032" s="211">
        <v>1.8788501026694</v>
      </c>
      <c r="J1032" s="211">
        <v>-0.54451823167320301</v>
      </c>
      <c r="K1032" s="288">
        <v>-416.55644723</v>
      </c>
    </row>
    <row r="1033" spans="2:11" x14ac:dyDescent="0.2">
      <c r="B1033">
        <v>14</v>
      </c>
      <c r="C1033">
        <v>2919</v>
      </c>
      <c r="D1033" s="308" t="s">
        <v>1605</v>
      </c>
      <c r="E1033" s="291">
        <v>1348</v>
      </c>
      <c r="F1033" s="291">
        <v>173</v>
      </c>
      <c r="G1033" s="291">
        <v>469</v>
      </c>
      <c r="H1033" s="287">
        <v>0.12833827893175101</v>
      </c>
      <c r="I1033" s="211">
        <v>3.2430703624733499</v>
      </c>
      <c r="J1033" s="211">
        <v>-0.55640942422653294</v>
      </c>
      <c r="K1033" s="288">
        <v>-750.03990385736699</v>
      </c>
    </row>
    <row r="1034" spans="2:11" x14ac:dyDescent="0.2">
      <c r="B1034">
        <v>14</v>
      </c>
      <c r="C1034">
        <v>2920</v>
      </c>
      <c r="D1034" s="308" t="s">
        <v>1606</v>
      </c>
      <c r="E1034" s="291">
        <v>5422</v>
      </c>
      <c r="F1034" s="291">
        <v>2600</v>
      </c>
      <c r="G1034" s="291">
        <v>1971</v>
      </c>
      <c r="H1034" s="287">
        <v>0.47952784950202898</v>
      </c>
      <c r="I1034" s="211">
        <v>4.0700152207001503</v>
      </c>
      <c r="J1034" s="211">
        <v>6.4608732084180096E-2</v>
      </c>
      <c r="K1034" s="288">
        <v>350.308545360425</v>
      </c>
    </row>
    <row r="1035" spans="2:11" x14ac:dyDescent="0.2">
      <c r="B1035">
        <v>14</v>
      </c>
      <c r="C1035">
        <v>2931</v>
      </c>
      <c r="D1035" s="308" t="s">
        <v>1607</v>
      </c>
      <c r="E1035" s="291">
        <v>302</v>
      </c>
      <c r="F1035" s="291">
        <v>93</v>
      </c>
      <c r="G1035" s="291">
        <v>825</v>
      </c>
      <c r="H1035" s="287">
        <v>0.30794701986755002</v>
      </c>
      <c r="I1035" s="211">
        <v>0.47878787878787898</v>
      </c>
      <c r="J1035" s="211">
        <v>-0.47466722825709801</v>
      </c>
      <c r="K1035" s="288">
        <v>-143.34950293364301</v>
      </c>
    </row>
    <row r="1036" spans="2:11" x14ac:dyDescent="0.2">
      <c r="B1036">
        <v>14</v>
      </c>
      <c r="C1036">
        <v>2932</v>
      </c>
      <c r="D1036" s="308" t="s">
        <v>1608</v>
      </c>
      <c r="E1036" s="291">
        <v>4656</v>
      </c>
      <c r="F1036" s="291">
        <v>2230</v>
      </c>
      <c r="G1036" s="291">
        <v>1864</v>
      </c>
      <c r="H1036" s="287">
        <v>0.478951890034364</v>
      </c>
      <c r="I1036" s="211">
        <v>3.6942060085836901</v>
      </c>
      <c r="J1036" s="211">
        <v>2.09150941885278E-2</v>
      </c>
      <c r="K1036" s="288">
        <v>97.380678541785301</v>
      </c>
    </row>
    <row r="1037" spans="2:11" x14ac:dyDescent="0.2">
      <c r="B1037">
        <v>14</v>
      </c>
      <c r="C1037">
        <v>2933</v>
      </c>
      <c r="D1037" s="308" t="s">
        <v>1609</v>
      </c>
      <c r="E1037" s="291">
        <v>823</v>
      </c>
      <c r="F1037" s="291">
        <v>217</v>
      </c>
      <c r="G1037" s="291">
        <v>555</v>
      </c>
      <c r="H1037" s="287">
        <v>0.26366950182260002</v>
      </c>
      <c r="I1037" s="211">
        <v>1.8738738738738701</v>
      </c>
      <c r="J1037" s="211">
        <v>-0.45872720987323301</v>
      </c>
      <c r="K1037" s="288">
        <v>-377.53249372567097</v>
      </c>
    </row>
    <row r="1038" spans="2:11" x14ac:dyDescent="0.2">
      <c r="B1038">
        <v>14</v>
      </c>
      <c r="C1038">
        <v>2936</v>
      </c>
      <c r="D1038" s="308" t="s">
        <v>1610</v>
      </c>
      <c r="E1038" s="291">
        <v>859</v>
      </c>
      <c r="F1038" s="291">
        <v>290</v>
      </c>
      <c r="G1038" s="291">
        <v>1751</v>
      </c>
      <c r="H1038" s="287">
        <v>0.33760186263096598</v>
      </c>
      <c r="I1038" s="211">
        <v>0.65619645916619096</v>
      </c>
      <c r="J1038" s="211">
        <v>-0.41016454742416603</v>
      </c>
      <c r="K1038" s="288">
        <v>-352.33134623735901</v>
      </c>
    </row>
    <row r="1039" spans="2:11" x14ac:dyDescent="0.2">
      <c r="B1039">
        <v>14</v>
      </c>
      <c r="C1039">
        <v>2937</v>
      </c>
      <c r="D1039" s="308" t="s">
        <v>1611</v>
      </c>
      <c r="E1039" s="291">
        <v>10407</v>
      </c>
      <c r="F1039" s="291">
        <v>5729</v>
      </c>
      <c r="G1039" s="291">
        <v>772</v>
      </c>
      <c r="H1039" s="287">
        <v>0.55049485922936503</v>
      </c>
      <c r="I1039" s="211">
        <v>20.901554404145099</v>
      </c>
      <c r="J1039" s="211">
        <v>0.95712485990422802</v>
      </c>
      <c r="K1039" s="288">
        <v>9960.7984170232994</v>
      </c>
    </row>
    <row r="1040" spans="2:11" x14ac:dyDescent="0.2">
      <c r="B1040">
        <v>14</v>
      </c>
      <c r="C1040">
        <v>2938</v>
      </c>
      <c r="D1040" s="308" t="s">
        <v>1612</v>
      </c>
      <c r="E1040" s="291">
        <v>749</v>
      </c>
      <c r="F1040" s="291">
        <v>210</v>
      </c>
      <c r="G1040" s="291">
        <v>498</v>
      </c>
      <c r="H1040" s="287">
        <v>0.28037383177570102</v>
      </c>
      <c r="I1040" s="211">
        <v>1.9257028112449801</v>
      </c>
      <c r="J1040" s="211">
        <v>-0.43896431442956202</v>
      </c>
      <c r="K1040" s="288">
        <v>-328.78427150774201</v>
      </c>
    </row>
    <row r="1041" spans="2:11" x14ac:dyDescent="0.2">
      <c r="B1041">
        <v>14</v>
      </c>
      <c r="C1041">
        <v>2939</v>
      </c>
      <c r="D1041" s="308" t="s">
        <v>1613</v>
      </c>
      <c r="E1041" s="291">
        <v>36148</v>
      </c>
      <c r="F1041" s="291">
        <v>26118</v>
      </c>
      <c r="G1041" s="291">
        <v>4126</v>
      </c>
      <c r="H1041" s="287">
        <v>0.72252960053115001</v>
      </c>
      <c r="I1041" s="211">
        <v>15.0911294231701</v>
      </c>
      <c r="J1041" s="211">
        <v>1.9418595548161</v>
      </c>
      <c r="K1041" s="288">
        <v>70194.339187492398</v>
      </c>
    </row>
    <row r="1042" spans="2:11" x14ac:dyDescent="0.2">
      <c r="B1042">
        <v>14</v>
      </c>
      <c r="C1042">
        <v>2951</v>
      </c>
      <c r="D1042" s="308" t="s">
        <v>1614</v>
      </c>
      <c r="E1042" s="291">
        <v>476</v>
      </c>
      <c r="F1042" s="291">
        <v>138</v>
      </c>
      <c r="G1042" s="291">
        <v>1261</v>
      </c>
      <c r="H1042" s="287">
        <v>0.28991596638655498</v>
      </c>
      <c r="I1042" s="211">
        <v>0.48691514670896102</v>
      </c>
      <c r="J1042" s="211">
        <v>-0.49006569057456301</v>
      </c>
      <c r="K1042" s="288">
        <v>-233.27126871349199</v>
      </c>
    </row>
    <row r="1043" spans="2:11" x14ac:dyDescent="0.2">
      <c r="B1043">
        <v>14</v>
      </c>
      <c r="C1043">
        <v>2952</v>
      </c>
      <c r="D1043" s="308" t="s">
        <v>1615</v>
      </c>
      <c r="E1043" s="291">
        <v>1675</v>
      </c>
      <c r="F1043" s="291">
        <v>733</v>
      </c>
      <c r="G1043" s="291">
        <v>2140</v>
      </c>
      <c r="H1043" s="287">
        <v>0.43761194029850697</v>
      </c>
      <c r="I1043" s="211">
        <v>1.1252336448598099</v>
      </c>
      <c r="J1043" s="211">
        <v>-0.23794379991784201</v>
      </c>
      <c r="K1043" s="288">
        <v>-398.55586486238502</v>
      </c>
    </row>
    <row r="1044" spans="2:11" x14ac:dyDescent="0.2">
      <c r="B1044">
        <v>14</v>
      </c>
      <c r="C1044">
        <v>2953</v>
      </c>
      <c r="D1044" s="308" t="s">
        <v>1616</v>
      </c>
      <c r="E1044" s="291">
        <v>847</v>
      </c>
      <c r="F1044" s="291">
        <v>186</v>
      </c>
      <c r="G1044" s="291">
        <v>931</v>
      </c>
      <c r="H1044" s="287">
        <v>0.21959858323494699</v>
      </c>
      <c r="I1044" s="211">
        <v>1.10955961331901</v>
      </c>
      <c r="J1044" s="211">
        <v>-0.54030744698481004</v>
      </c>
      <c r="K1044" s="288">
        <v>-457.64040759613403</v>
      </c>
    </row>
    <row r="1045" spans="2:11" x14ac:dyDescent="0.2">
      <c r="B1045">
        <v>14</v>
      </c>
      <c r="C1045">
        <v>2961</v>
      </c>
      <c r="D1045" s="308" t="s">
        <v>1617</v>
      </c>
      <c r="E1045" s="291">
        <v>313</v>
      </c>
      <c r="F1045" s="291">
        <v>77</v>
      </c>
      <c r="G1045" s="291">
        <v>381</v>
      </c>
      <c r="H1045" s="287">
        <v>0.246006389776358</v>
      </c>
      <c r="I1045" s="211">
        <v>1.02362204724409</v>
      </c>
      <c r="J1045" s="211">
        <v>-0.53112314624586299</v>
      </c>
      <c r="K1045" s="288">
        <v>-166.241544774955</v>
      </c>
    </row>
    <row r="1046" spans="2:11" x14ac:dyDescent="0.2">
      <c r="B1046">
        <v>14</v>
      </c>
      <c r="C1046">
        <v>2962</v>
      </c>
      <c r="D1046" s="308" t="s">
        <v>1618</v>
      </c>
      <c r="E1046" s="291">
        <v>472</v>
      </c>
      <c r="F1046" s="291">
        <v>107</v>
      </c>
      <c r="G1046" s="291">
        <v>760</v>
      </c>
      <c r="H1046" s="287">
        <v>0.22669491525423699</v>
      </c>
      <c r="I1046" s="211">
        <v>0.76184210526315799</v>
      </c>
      <c r="J1046" s="211">
        <v>-0.55852902218864597</v>
      </c>
      <c r="K1046" s="288">
        <v>-263.62569847304098</v>
      </c>
    </row>
    <row r="1047" spans="2:11" x14ac:dyDescent="0.2">
      <c r="B1047">
        <v>14</v>
      </c>
      <c r="C1047">
        <v>2963</v>
      </c>
      <c r="D1047" s="308" t="s">
        <v>1619</v>
      </c>
      <c r="E1047" s="291">
        <v>1443</v>
      </c>
      <c r="F1047" s="291">
        <v>814</v>
      </c>
      <c r="G1047" s="291">
        <v>1321</v>
      </c>
      <c r="H1047" s="287">
        <v>0.56410256410256399</v>
      </c>
      <c r="I1047" s="211">
        <v>1.70855412566238</v>
      </c>
      <c r="J1047" s="211">
        <v>-6.8783183644160001E-2</v>
      </c>
      <c r="K1047" s="288">
        <v>-99.254133998522803</v>
      </c>
    </row>
    <row r="1048" spans="2:11" x14ac:dyDescent="0.2">
      <c r="B1048">
        <v>14</v>
      </c>
      <c r="C1048">
        <v>2964</v>
      </c>
      <c r="D1048" s="308" t="s">
        <v>1620</v>
      </c>
      <c r="E1048" s="291">
        <v>3421</v>
      </c>
      <c r="F1048" s="291">
        <v>1649</v>
      </c>
      <c r="G1048" s="291">
        <v>547</v>
      </c>
      <c r="H1048" s="287">
        <v>0.48202280035077499</v>
      </c>
      <c r="I1048" s="211">
        <v>9.2687385740402206</v>
      </c>
      <c r="J1048" s="211">
        <v>0.18091972163029099</v>
      </c>
      <c r="K1048" s="288">
        <v>618.92636769722401</v>
      </c>
    </row>
    <row r="1049" spans="2:11" x14ac:dyDescent="0.2">
      <c r="B1049">
        <v>14</v>
      </c>
      <c r="C1049">
        <v>2971</v>
      </c>
      <c r="D1049" s="308" t="s">
        <v>1621</v>
      </c>
      <c r="E1049" s="291">
        <v>2118</v>
      </c>
      <c r="F1049" s="291">
        <v>994</v>
      </c>
      <c r="G1049" s="291">
        <v>1521</v>
      </c>
      <c r="H1049" s="287">
        <v>0.46931067044381503</v>
      </c>
      <c r="I1049" s="211">
        <v>2.04602235371466</v>
      </c>
      <c r="J1049" s="211">
        <v>-0.14814191067591001</v>
      </c>
      <c r="K1049" s="288">
        <v>-313.76456681157703</v>
      </c>
    </row>
    <row r="1050" spans="2:11" x14ac:dyDescent="0.2">
      <c r="B1050">
        <v>14</v>
      </c>
      <c r="C1050">
        <v>2972</v>
      </c>
      <c r="D1050" s="308" t="s">
        <v>1622</v>
      </c>
      <c r="E1050" s="291">
        <v>446</v>
      </c>
      <c r="F1050" s="291">
        <v>137</v>
      </c>
      <c r="G1050" s="291">
        <v>603</v>
      </c>
      <c r="H1050" s="287">
        <v>0.30717488789237701</v>
      </c>
      <c r="I1050" s="211">
        <v>0.96683250414593702</v>
      </c>
      <c r="J1050" s="211">
        <v>-0.45231545497901499</v>
      </c>
      <c r="K1050" s="288">
        <v>-201.732692920641</v>
      </c>
    </row>
    <row r="1051" spans="2:11" x14ac:dyDescent="0.2">
      <c r="B1051">
        <v>14</v>
      </c>
      <c r="C1051">
        <v>2973</v>
      </c>
      <c r="D1051" s="308" t="s">
        <v>1623</v>
      </c>
      <c r="E1051" s="291">
        <v>603</v>
      </c>
      <c r="F1051" s="291">
        <v>210</v>
      </c>
      <c r="G1051" s="291">
        <v>409</v>
      </c>
      <c r="H1051" s="287">
        <v>0.34825870646766199</v>
      </c>
      <c r="I1051" s="211">
        <v>1.98777506112469</v>
      </c>
      <c r="J1051" s="211">
        <v>-0.358157675272533</v>
      </c>
      <c r="K1051" s="288">
        <v>-215.96907818933801</v>
      </c>
    </row>
    <row r="1052" spans="2:11" x14ac:dyDescent="0.2">
      <c r="B1052">
        <v>14</v>
      </c>
      <c r="C1052">
        <v>2974</v>
      </c>
      <c r="D1052" s="308" t="s">
        <v>1624</v>
      </c>
      <c r="E1052" s="291">
        <v>1731</v>
      </c>
      <c r="F1052" s="291">
        <v>844</v>
      </c>
      <c r="G1052" s="291">
        <v>2101</v>
      </c>
      <c r="H1052" s="287">
        <v>0.48757943385326402</v>
      </c>
      <c r="I1052" s="211">
        <v>1.2256068538791101</v>
      </c>
      <c r="J1052" s="211">
        <v>-0.170224005946289</v>
      </c>
      <c r="K1052" s="288">
        <v>-294.65775429302698</v>
      </c>
    </row>
    <row r="1053" spans="2:11" x14ac:dyDescent="0.2">
      <c r="B1053">
        <v>15</v>
      </c>
      <c r="C1053">
        <v>3001</v>
      </c>
      <c r="D1053" s="308" t="s">
        <v>1625</v>
      </c>
      <c r="E1053" s="291">
        <v>15730</v>
      </c>
      <c r="F1053" s="291">
        <v>9634</v>
      </c>
      <c r="G1053" s="291">
        <v>2504</v>
      </c>
      <c r="H1053" s="287">
        <v>0.61246026700572198</v>
      </c>
      <c r="I1053" s="211">
        <v>10.129392971246</v>
      </c>
      <c r="J1053" s="211">
        <v>0.84427466571479903</v>
      </c>
      <c r="K1053" s="288">
        <v>13280.4404916938</v>
      </c>
    </row>
    <row r="1054" spans="2:11" x14ac:dyDescent="0.2">
      <c r="B1054">
        <v>15</v>
      </c>
      <c r="C1054">
        <v>3002</v>
      </c>
      <c r="D1054" s="308" t="s">
        <v>1626</v>
      </c>
      <c r="E1054" s="291">
        <v>956</v>
      </c>
      <c r="F1054" s="291">
        <v>479</v>
      </c>
      <c r="G1054" s="291">
        <v>2245</v>
      </c>
      <c r="H1054" s="287">
        <v>0.50104602510460206</v>
      </c>
      <c r="I1054" s="211">
        <v>0.63919821826280598</v>
      </c>
      <c r="J1054" s="211">
        <v>-0.204544266677299</v>
      </c>
      <c r="K1054" s="288">
        <v>-195.54431894349801</v>
      </c>
    </row>
    <row r="1055" spans="2:11" x14ac:dyDescent="0.2">
      <c r="B1055">
        <v>15</v>
      </c>
      <c r="C1055">
        <v>3003</v>
      </c>
      <c r="D1055" s="308" t="s">
        <v>1627</v>
      </c>
      <c r="E1055" s="291">
        <v>516</v>
      </c>
      <c r="F1055" s="291">
        <v>160</v>
      </c>
      <c r="G1055" s="291">
        <v>520</v>
      </c>
      <c r="H1055" s="287">
        <v>0.31007751937984501</v>
      </c>
      <c r="I1055" s="211">
        <v>1.3</v>
      </c>
      <c r="J1055" s="211">
        <v>-0.43388827103804301</v>
      </c>
      <c r="K1055" s="288">
        <v>-223.88634785562999</v>
      </c>
    </row>
    <row r="1056" spans="2:11" x14ac:dyDescent="0.2">
      <c r="B1056">
        <v>15</v>
      </c>
      <c r="C1056">
        <v>3004</v>
      </c>
      <c r="D1056" s="308" t="s">
        <v>1628</v>
      </c>
      <c r="E1056" s="291">
        <v>1565</v>
      </c>
      <c r="F1056" s="291">
        <v>485</v>
      </c>
      <c r="G1056" s="291">
        <v>1731</v>
      </c>
      <c r="H1056" s="287">
        <v>0.30990415335463301</v>
      </c>
      <c r="I1056" s="211">
        <v>1.1842865395725</v>
      </c>
      <c r="J1056" s="211">
        <v>-0.398243195754863</v>
      </c>
      <c r="K1056" s="288">
        <v>-623.25060135636102</v>
      </c>
    </row>
    <row r="1057" spans="2:11" x14ac:dyDescent="0.2">
      <c r="B1057">
        <v>15</v>
      </c>
      <c r="C1057">
        <v>3005</v>
      </c>
      <c r="D1057" s="308" t="s">
        <v>1629</v>
      </c>
      <c r="E1057" s="291">
        <v>1418</v>
      </c>
      <c r="F1057" s="291">
        <v>489</v>
      </c>
      <c r="G1057" s="291">
        <v>920</v>
      </c>
      <c r="H1057" s="287">
        <v>0.344851904090268</v>
      </c>
      <c r="I1057" s="211">
        <v>2.0728260869565198</v>
      </c>
      <c r="J1057" s="211">
        <v>-0.32813544093282998</v>
      </c>
      <c r="K1057" s="288">
        <v>-465.296055242752</v>
      </c>
    </row>
    <row r="1058" spans="2:11" x14ac:dyDescent="0.2">
      <c r="B1058">
        <v>15</v>
      </c>
      <c r="C1058">
        <v>3006</v>
      </c>
      <c r="D1058" s="308" t="s">
        <v>1630</v>
      </c>
      <c r="E1058" s="291">
        <v>2271</v>
      </c>
      <c r="F1058" s="291">
        <v>1053</v>
      </c>
      <c r="G1058" s="291">
        <v>4746</v>
      </c>
      <c r="H1058" s="287">
        <v>0.463672391017173</v>
      </c>
      <c r="I1058" s="211">
        <v>0.70037926675094797</v>
      </c>
      <c r="J1058" s="211">
        <v>-0.198378678700527</v>
      </c>
      <c r="K1058" s="288">
        <v>-450.51797932889599</v>
      </c>
    </row>
    <row r="1059" spans="2:11" x14ac:dyDescent="0.2">
      <c r="B1059">
        <v>15</v>
      </c>
      <c r="C1059">
        <v>3007</v>
      </c>
      <c r="D1059" s="308" t="s">
        <v>1631</v>
      </c>
      <c r="E1059" s="291">
        <v>1767</v>
      </c>
      <c r="F1059" s="291">
        <v>989</v>
      </c>
      <c r="G1059" s="291">
        <v>663</v>
      </c>
      <c r="H1059" s="287">
        <v>0.55970571590266005</v>
      </c>
      <c r="I1059" s="211">
        <v>4.1568627450980404</v>
      </c>
      <c r="J1059" s="211">
        <v>2.7475308327816399E-2</v>
      </c>
      <c r="K1059" s="288">
        <v>48.5488698152515</v>
      </c>
    </row>
    <row r="1060" spans="2:11" x14ac:dyDescent="0.2">
      <c r="B1060">
        <v>15</v>
      </c>
      <c r="C1060">
        <v>3021</v>
      </c>
      <c r="D1060" s="308" t="s">
        <v>1632</v>
      </c>
      <c r="E1060" s="291">
        <v>1746</v>
      </c>
      <c r="F1060" s="291">
        <v>659</v>
      </c>
      <c r="G1060" s="291">
        <v>553</v>
      </c>
      <c r="H1060" s="287">
        <v>0.37743413516609398</v>
      </c>
      <c r="I1060" s="211">
        <v>4.3490054249547896</v>
      </c>
      <c r="J1060" s="211">
        <v>-0.192181133804842</v>
      </c>
      <c r="K1060" s="288">
        <v>-335.54825962325401</v>
      </c>
    </row>
    <row r="1061" spans="2:11" x14ac:dyDescent="0.2">
      <c r="B1061">
        <v>15</v>
      </c>
      <c r="C1061">
        <v>3022</v>
      </c>
      <c r="D1061" s="308" t="s">
        <v>1633</v>
      </c>
      <c r="E1061" s="291">
        <v>3106</v>
      </c>
      <c r="F1061" s="291">
        <v>1260</v>
      </c>
      <c r="G1061" s="291">
        <v>2087</v>
      </c>
      <c r="H1061" s="287">
        <v>0.40566645202833201</v>
      </c>
      <c r="I1061" s="211">
        <v>2.0919980833732601</v>
      </c>
      <c r="J1061" s="211">
        <v>-0.187579154664445</v>
      </c>
      <c r="K1061" s="288">
        <v>-582.62085438776501</v>
      </c>
    </row>
    <row r="1062" spans="2:11" x14ac:dyDescent="0.2">
      <c r="B1062">
        <v>15</v>
      </c>
      <c r="C1062">
        <v>3023</v>
      </c>
      <c r="D1062" s="308" t="s">
        <v>1634</v>
      </c>
      <c r="E1062" s="291">
        <v>4227</v>
      </c>
      <c r="F1062" s="291">
        <v>1086</v>
      </c>
      <c r="G1062" s="291">
        <v>812</v>
      </c>
      <c r="H1062" s="287">
        <v>0.25691980127750202</v>
      </c>
      <c r="I1062" s="211">
        <v>6.5431034482758603</v>
      </c>
      <c r="J1062" s="211">
        <v>-0.166668367026297</v>
      </c>
      <c r="K1062" s="288">
        <v>-704.50718742015897</v>
      </c>
    </row>
    <row r="1063" spans="2:11" x14ac:dyDescent="0.2">
      <c r="B1063">
        <v>15</v>
      </c>
      <c r="C1063">
        <v>3024</v>
      </c>
      <c r="D1063" s="308" t="s">
        <v>1635</v>
      </c>
      <c r="E1063" s="291">
        <v>6201</v>
      </c>
      <c r="F1063" s="291">
        <v>2857</v>
      </c>
      <c r="G1063" s="291">
        <v>1514</v>
      </c>
      <c r="H1063" s="287">
        <v>0.46073213997742302</v>
      </c>
      <c r="I1063" s="211">
        <v>5.9828269484808496</v>
      </c>
      <c r="J1063" s="211">
        <v>0.140872266370278</v>
      </c>
      <c r="K1063" s="288">
        <v>873.54892376209204</v>
      </c>
    </row>
    <row r="1064" spans="2:11" x14ac:dyDescent="0.2">
      <c r="B1064">
        <v>15</v>
      </c>
      <c r="C1064">
        <v>3025</v>
      </c>
      <c r="D1064" s="308" t="s">
        <v>1636</v>
      </c>
      <c r="E1064" s="291">
        <v>1750</v>
      </c>
      <c r="F1064" s="291">
        <v>841</v>
      </c>
      <c r="G1064" s="291">
        <v>991</v>
      </c>
      <c r="H1064" s="287">
        <v>0.48057142857142898</v>
      </c>
      <c r="I1064" s="211">
        <v>2.61453077699294</v>
      </c>
      <c r="J1064" s="211">
        <v>-0.12750692164098801</v>
      </c>
      <c r="K1064" s="288">
        <v>-223.13711287173001</v>
      </c>
    </row>
    <row r="1065" spans="2:11" x14ac:dyDescent="0.2">
      <c r="B1065">
        <v>15</v>
      </c>
      <c r="C1065">
        <v>3031</v>
      </c>
      <c r="D1065" s="308" t="s">
        <v>1637</v>
      </c>
      <c r="E1065" s="291">
        <v>1040</v>
      </c>
      <c r="F1065" s="291">
        <v>282</v>
      </c>
      <c r="G1065" s="291">
        <v>420</v>
      </c>
      <c r="H1065" s="287">
        <v>0.27115384615384602</v>
      </c>
      <c r="I1065" s="211">
        <v>3.1476190476190502</v>
      </c>
      <c r="J1065" s="211">
        <v>-0.39468857074936298</v>
      </c>
      <c r="K1065" s="288">
        <v>-410.47611357933698</v>
      </c>
    </row>
    <row r="1066" spans="2:11" x14ac:dyDescent="0.2">
      <c r="B1066">
        <v>15</v>
      </c>
      <c r="C1066">
        <v>3032</v>
      </c>
      <c r="D1066" s="308" t="s">
        <v>1638</v>
      </c>
      <c r="E1066" s="291">
        <v>4210</v>
      </c>
      <c r="F1066" s="291">
        <v>2902</v>
      </c>
      <c r="G1066" s="291">
        <v>748</v>
      </c>
      <c r="H1066" s="287">
        <v>0.68931116389548697</v>
      </c>
      <c r="I1066" s="211">
        <v>9.5080213903743296</v>
      </c>
      <c r="J1066" s="211">
        <v>0.47666158414766702</v>
      </c>
      <c r="K1066" s="288">
        <v>2006.7452692616801</v>
      </c>
    </row>
    <row r="1067" spans="2:11" x14ac:dyDescent="0.2">
      <c r="B1067">
        <v>15</v>
      </c>
      <c r="C1067">
        <v>3033</v>
      </c>
      <c r="D1067" s="308" t="s">
        <v>1639</v>
      </c>
      <c r="E1067" s="291">
        <v>1243</v>
      </c>
      <c r="F1067" s="291">
        <v>294</v>
      </c>
      <c r="G1067" s="291">
        <v>223</v>
      </c>
      <c r="H1067" s="287">
        <v>0.236524537409493</v>
      </c>
      <c r="I1067" s="211">
        <v>6.8923766816143504</v>
      </c>
      <c r="J1067" s="211">
        <v>-0.293215198487705</v>
      </c>
      <c r="K1067" s="288">
        <v>-364.46649172021699</v>
      </c>
    </row>
    <row r="1068" spans="2:11" x14ac:dyDescent="0.2">
      <c r="B1068">
        <v>15</v>
      </c>
      <c r="C1068">
        <v>3034</v>
      </c>
      <c r="D1068" s="308" t="s">
        <v>1640</v>
      </c>
      <c r="E1068" s="291">
        <v>1773</v>
      </c>
      <c r="F1068" s="291">
        <v>544</v>
      </c>
      <c r="G1068" s="291">
        <v>668</v>
      </c>
      <c r="H1068" s="287">
        <v>0.30682459108854998</v>
      </c>
      <c r="I1068" s="211">
        <v>3.4685628742515</v>
      </c>
      <c r="J1068" s="211">
        <v>-0.310769420185877</v>
      </c>
      <c r="K1068" s="288">
        <v>-550.99418198956096</v>
      </c>
    </row>
    <row r="1069" spans="2:11" x14ac:dyDescent="0.2">
      <c r="B1069">
        <v>15</v>
      </c>
      <c r="C1069">
        <v>3035</v>
      </c>
      <c r="D1069" s="308" t="s">
        <v>1641</v>
      </c>
      <c r="E1069" s="291">
        <v>699</v>
      </c>
      <c r="F1069" s="291">
        <v>209</v>
      </c>
      <c r="G1069" s="291">
        <v>495</v>
      </c>
      <c r="H1069" s="287">
        <v>0.29899856938483499</v>
      </c>
      <c r="I1069" s="211">
        <v>1.8343434343434299</v>
      </c>
      <c r="J1069" s="211">
        <v>-0.42112894631867298</v>
      </c>
      <c r="K1069" s="288">
        <v>-294.36913347675198</v>
      </c>
    </row>
    <row r="1070" spans="2:11" x14ac:dyDescent="0.2">
      <c r="B1070">
        <v>15</v>
      </c>
      <c r="C1070">
        <v>3036</v>
      </c>
      <c r="D1070" s="308" t="s">
        <v>1642</v>
      </c>
      <c r="E1070" s="291">
        <v>864</v>
      </c>
      <c r="F1070" s="291">
        <v>299</v>
      </c>
      <c r="G1070" s="291">
        <v>684</v>
      </c>
      <c r="H1070" s="287">
        <v>0.34606481481481499</v>
      </c>
      <c r="I1070" s="211">
        <v>1.70029239766082</v>
      </c>
      <c r="J1070" s="211">
        <v>-0.36139245936514502</v>
      </c>
      <c r="K1070" s="288">
        <v>-312.24308489148501</v>
      </c>
    </row>
    <row r="1071" spans="2:11" x14ac:dyDescent="0.2">
      <c r="B1071">
        <v>15</v>
      </c>
      <c r="C1071">
        <v>3037</v>
      </c>
      <c r="D1071" s="308" t="s">
        <v>1643</v>
      </c>
      <c r="E1071" s="291">
        <v>2034</v>
      </c>
      <c r="F1071" s="291">
        <v>1218</v>
      </c>
      <c r="G1071" s="291">
        <v>703</v>
      </c>
      <c r="H1071" s="287">
        <v>0.59882005899705004</v>
      </c>
      <c r="I1071" s="211">
        <v>4.6258890469416798</v>
      </c>
      <c r="J1071" s="211">
        <v>0.103258848868945</v>
      </c>
      <c r="K1071" s="288">
        <v>210.02849859943501</v>
      </c>
    </row>
    <row r="1072" spans="2:11" x14ac:dyDescent="0.2">
      <c r="B1072">
        <v>15</v>
      </c>
      <c r="C1072">
        <v>3038</v>
      </c>
      <c r="D1072" s="308" t="s">
        <v>1644</v>
      </c>
      <c r="E1072" s="291">
        <v>1838</v>
      </c>
      <c r="F1072" s="291">
        <v>826</v>
      </c>
      <c r="G1072" s="291">
        <v>695</v>
      </c>
      <c r="H1072" s="287">
        <v>0.44940152339499501</v>
      </c>
      <c r="I1072" s="211">
        <v>3.8330935251798599</v>
      </c>
      <c r="J1072" s="211">
        <v>-0.118309606356905</v>
      </c>
      <c r="K1072" s="288">
        <v>-217.45305648399099</v>
      </c>
    </row>
    <row r="1073" spans="2:11" x14ac:dyDescent="0.2">
      <c r="B1073">
        <v>16</v>
      </c>
      <c r="C1073">
        <v>3101</v>
      </c>
      <c r="D1073" s="308" t="s">
        <v>1645</v>
      </c>
      <c r="E1073" s="291">
        <v>5825</v>
      </c>
      <c r="F1073" s="291">
        <v>4833</v>
      </c>
      <c r="G1073" s="291">
        <v>1671</v>
      </c>
      <c r="H1073" s="287">
        <v>0.82969957081545098</v>
      </c>
      <c r="I1073" s="211">
        <v>6.3782166367444599</v>
      </c>
      <c r="J1073" s="211">
        <v>0.59814259188868801</v>
      </c>
      <c r="K1073" s="288">
        <v>3484.1805977516101</v>
      </c>
    </row>
    <row r="1074" spans="2:11" x14ac:dyDescent="0.2">
      <c r="B1074">
        <v>16</v>
      </c>
      <c r="C1074">
        <v>3102</v>
      </c>
      <c r="D1074" s="308" t="s">
        <v>1646</v>
      </c>
      <c r="E1074" s="291">
        <v>1434</v>
      </c>
      <c r="F1074" s="291">
        <v>717</v>
      </c>
      <c r="G1074" s="291">
        <v>2423</v>
      </c>
      <c r="H1074" s="287">
        <v>0.5</v>
      </c>
      <c r="I1074" s="211">
        <v>0.88774246801485801</v>
      </c>
      <c r="J1074" s="211">
        <v>-0.17850814929994499</v>
      </c>
      <c r="K1074" s="288">
        <v>-255.98068609612099</v>
      </c>
    </row>
    <row r="1075" spans="2:11" x14ac:dyDescent="0.2">
      <c r="B1075">
        <v>16</v>
      </c>
      <c r="C1075">
        <v>3103</v>
      </c>
      <c r="D1075" s="308" t="s">
        <v>1647</v>
      </c>
      <c r="E1075" s="291">
        <v>3543</v>
      </c>
      <c r="F1075" s="291">
        <v>1181</v>
      </c>
      <c r="G1075" s="291">
        <v>3669</v>
      </c>
      <c r="H1075" s="287">
        <v>0.33333333333333298</v>
      </c>
      <c r="I1075" s="211">
        <v>1.28754428999727</v>
      </c>
      <c r="J1075" s="211">
        <v>-0.28986488507799102</v>
      </c>
      <c r="K1075" s="288">
        <v>-1026.9912878313201</v>
      </c>
    </row>
    <row r="1076" spans="2:11" x14ac:dyDescent="0.2">
      <c r="B1076">
        <v>16</v>
      </c>
      <c r="C1076">
        <v>3104</v>
      </c>
      <c r="D1076" s="308" t="s">
        <v>1648</v>
      </c>
      <c r="E1076" s="291">
        <v>1102</v>
      </c>
      <c r="F1076" s="291">
        <v>415</v>
      </c>
      <c r="G1076" s="291">
        <v>1769</v>
      </c>
      <c r="H1076" s="287">
        <v>0.37658802177858403</v>
      </c>
      <c r="I1076" s="211">
        <v>0.85754663651780705</v>
      </c>
      <c r="J1076" s="211">
        <v>-0.34522309322809203</v>
      </c>
      <c r="K1076" s="288">
        <v>-380.43584873735801</v>
      </c>
    </row>
    <row r="1077" spans="2:11" x14ac:dyDescent="0.2">
      <c r="B1077">
        <v>16</v>
      </c>
      <c r="C1077">
        <v>3105</v>
      </c>
      <c r="D1077" s="308" t="s">
        <v>1649</v>
      </c>
      <c r="E1077" s="291">
        <v>2193</v>
      </c>
      <c r="F1077" s="291">
        <v>1004</v>
      </c>
      <c r="G1077" s="291">
        <v>4595</v>
      </c>
      <c r="H1077" s="287">
        <v>0.4578203374373</v>
      </c>
      <c r="I1077" s="211">
        <v>0.69575625680087005</v>
      </c>
      <c r="J1077" s="211">
        <v>-0.20877934377892199</v>
      </c>
      <c r="K1077" s="288">
        <v>-457.85310090717599</v>
      </c>
    </row>
    <row r="1078" spans="2:11" x14ac:dyDescent="0.2">
      <c r="B1078">
        <v>16</v>
      </c>
      <c r="C1078">
        <v>3111</v>
      </c>
      <c r="D1078" s="308" t="s">
        <v>1650</v>
      </c>
      <c r="E1078" s="291">
        <v>1906</v>
      </c>
      <c r="F1078" s="291">
        <v>743</v>
      </c>
      <c r="G1078" s="291">
        <v>1455</v>
      </c>
      <c r="H1078" s="287">
        <v>0.38982161594963299</v>
      </c>
      <c r="I1078" s="211">
        <v>1.82061855670103</v>
      </c>
      <c r="J1078" s="211">
        <v>-0.26296620839227802</v>
      </c>
      <c r="K1078" s="288">
        <v>-501.21359319568103</v>
      </c>
    </row>
    <row r="1079" spans="2:11" x14ac:dyDescent="0.2">
      <c r="B1079">
        <v>17</v>
      </c>
      <c r="C1079">
        <v>3201</v>
      </c>
      <c r="D1079" s="308" t="s">
        <v>1651</v>
      </c>
      <c r="E1079" s="291">
        <v>1310</v>
      </c>
      <c r="F1079" s="291">
        <v>293</v>
      </c>
      <c r="G1079" s="291">
        <v>896</v>
      </c>
      <c r="H1079" s="287">
        <v>0.223664122137405</v>
      </c>
      <c r="I1079" s="211">
        <v>1.7890625</v>
      </c>
      <c r="J1079" s="211">
        <v>-0.49278679081372301</v>
      </c>
      <c r="K1079" s="288">
        <v>-645.55069596597696</v>
      </c>
    </row>
    <row r="1080" spans="2:11" x14ac:dyDescent="0.2">
      <c r="B1080">
        <v>17</v>
      </c>
      <c r="C1080">
        <v>3202</v>
      </c>
      <c r="D1080" s="308" t="s">
        <v>1652</v>
      </c>
      <c r="E1080" s="291">
        <v>1208</v>
      </c>
      <c r="F1080" s="291">
        <v>440</v>
      </c>
      <c r="G1080" s="291">
        <v>1026</v>
      </c>
      <c r="H1080" s="287">
        <v>0.36423841059602602</v>
      </c>
      <c r="I1080" s="211">
        <v>1.60623781676413</v>
      </c>
      <c r="J1080" s="211">
        <v>-0.329159934118961</v>
      </c>
      <c r="K1080" s="288">
        <v>-397.62520041570502</v>
      </c>
    </row>
    <row r="1081" spans="2:11" x14ac:dyDescent="0.2">
      <c r="B1081">
        <v>17</v>
      </c>
      <c r="C1081">
        <v>3203</v>
      </c>
      <c r="D1081" s="308" t="s">
        <v>1653</v>
      </c>
      <c r="E1081" s="291">
        <v>75481</v>
      </c>
      <c r="F1081" s="291">
        <v>81574</v>
      </c>
      <c r="G1081" s="291">
        <v>3863</v>
      </c>
      <c r="H1081" s="287">
        <v>1.0807223009764</v>
      </c>
      <c r="I1081" s="211">
        <v>40.6562257312969</v>
      </c>
      <c r="J1081" s="211">
        <v>4.8213599368392401</v>
      </c>
      <c r="K1081" s="288">
        <v>363921.06939256302</v>
      </c>
    </row>
    <row r="1082" spans="2:11" x14ac:dyDescent="0.2">
      <c r="B1082">
        <v>17</v>
      </c>
      <c r="C1082">
        <v>3204</v>
      </c>
      <c r="D1082" s="308" t="s">
        <v>1654</v>
      </c>
      <c r="E1082" s="291">
        <v>9779</v>
      </c>
      <c r="F1082" s="291">
        <v>3546</v>
      </c>
      <c r="G1082" s="291">
        <v>1202</v>
      </c>
      <c r="H1082" s="287">
        <v>0.362613764188567</v>
      </c>
      <c r="I1082" s="211">
        <v>11.085690515807</v>
      </c>
      <c r="J1082" s="211">
        <v>0.34217999509101998</v>
      </c>
      <c r="K1082" s="288">
        <v>3346.17817199509</v>
      </c>
    </row>
    <row r="1083" spans="2:11" x14ac:dyDescent="0.2">
      <c r="B1083">
        <v>17</v>
      </c>
      <c r="C1083">
        <v>3211</v>
      </c>
      <c r="D1083" s="308" t="s">
        <v>1655</v>
      </c>
      <c r="E1083" s="291">
        <v>843</v>
      </c>
      <c r="F1083" s="291">
        <v>171</v>
      </c>
      <c r="G1083" s="291">
        <v>375</v>
      </c>
      <c r="H1083" s="287">
        <v>0.20284697508896801</v>
      </c>
      <c r="I1083" s="211">
        <v>2.7040000000000002</v>
      </c>
      <c r="J1083" s="211">
        <v>-0.50304479364034405</v>
      </c>
      <c r="K1083" s="288">
        <v>-424.06676103881</v>
      </c>
    </row>
    <row r="1084" spans="2:11" x14ac:dyDescent="0.2">
      <c r="B1084">
        <v>17</v>
      </c>
      <c r="C1084">
        <v>3212</v>
      </c>
      <c r="D1084" s="308" t="s">
        <v>1656</v>
      </c>
      <c r="E1084" s="291">
        <v>2293</v>
      </c>
      <c r="F1084" s="291">
        <v>423</v>
      </c>
      <c r="G1084" s="291">
        <v>887</v>
      </c>
      <c r="H1084" s="287">
        <v>0.18447448757086801</v>
      </c>
      <c r="I1084" s="211">
        <v>3.0620067643743001</v>
      </c>
      <c r="J1084" s="211">
        <v>-0.45734564073538703</v>
      </c>
      <c r="K1084" s="288">
        <v>-1048.6935542062399</v>
      </c>
    </row>
    <row r="1085" spans="2:11" x14ac:dyDescent="0.2">
      <c r="B1085">
        <v>17</v>
      </c>
      <c r="C1085">
        <v>3213</v>
      </c>
      <c r="D1085" s="308" t="s">
        <v>1657</v>
      </c>
      <c r="E1085" s="291">
        <v>9052</v>
      </c>
      <c r="F1085" s="291">
        <v>4277</v>
      </c>
      <c r="G1085" s="291">
        <v>463</v>
      </c>
      <c r="H1085" s="287">
        <v>0.47249226690234197</v>
      </c>
      <c r="I1085" s="211">
        <v>28.7883369330454</v>
      </c>
      <c r="J1085" s="211">
        <v>1.09644388572867</v>
      </c>
      <c r="K1085" s="288">
        <v>9925.0100536159298</v>
      </c>
    </row>
    <row r="1086" spans="2:11" x14ac:dyDescent="0.2">
      <c r="B1086">
        <v>17</v>
      </c>
      <c r="C1086">
        <v>3214</v>
      </c>
      <c r="D1086" s="308" t="s">
        <v>1658</v>
      </c>
      <c r="E1086" s="291">
        <v>3569</v>
      </c>
      <c r="F1086" s="291">
        <v>1167</v>
      </c>
      <c r="G1086" s="291">
        <v>974</v>
      </c>
      <c r="H1086" s="287">
        <v>0.326982347996638</v>
      </c>
      <c r="I1086" s="211">
        <v>4.8624229979466103</v>
      </c>
      <c r="J1086" s="211">
        <v>-0.16631117170432799</v>
      </c>
      <c r="K1086" s="288">
        <v>-593.56457181274504</v>
      </c>
    </row>
    <row r="1087" spans="2:11" x14ac:dyDescent="0.2">
      <c r="B1087">
        <v>17</v>
      </c>
      <c r="C1087">
        <v>3215</v>
      </c>
      <c r="D1087" s="308" t="s">
        <v>1659</v>
      </c>
      <c r="E1087" s="291">
        <v>9408</v>
      </c>
      <c r="F1087" s="291">
        <v>5760</v>
      </c>
      <c r="G1087" s="291">
        <v>177</v>
      </c>
      <c r="H1087" s="287">
        <v>0.61224489795918402</v>
      </c>
      <c r="I1087" s="211">
        <v>85.694915254237301</v>
      </c>
      <c r="J1087" s="211">
        <v>3.3594710510167798</v>
      </c>
      <c r="K1087" s="288">
        <v>31605.903647965799</v>
      </c>
    </row>
    <row r="1088" spans="2:11" x14ac:dyDescent="0.2">
      <c r="B1088">
        <v>17</v>
      </c>
      <c r="C1088">
        <v>3216</v>
      </c>
      <c r="D1088" s="308" t="s">
        <v>1660</v>
      </c>
      <c r="E1088" s="291">
        <v>7090</v>
      </c>
      <c r="F1088" s="291">
        <v>1891</v>
      </c>
      <c r="G1088" s="291">
        <v>711</v>
      </c>
      <c r="H1088" s="287">
        <v>0.266713681241185</v>
      </c>
      <c r="I1088" s="211">
        <v>12.631504922644201</v>
      </c>
      <c r="J1088" s="211">
        <v>0.17699814158850999</v>
      </c>
      <c r="K1088" s="288">
        <v>1254.91682386253</v>
      </c>
    </row>
    <row r="1089" spans="2:11" x14ac:dyDescent="0.2">
      <c r="B1089">
        <v>17</v>
      </c>
      <c r="C1089">
        <v>3217</v>
      </c>
      <c r="D1089" s="308" t="s">
        <v>1661</v>
      </c>
      <c r="E1089" s="291">
        <v>3568</v>
      </c>
      <c r="F1089" s="291">
        <v>1858</v>
      </c>
      <c r="G1089" s="291">
        <v>444</v>
      </c>
      <c r="H1089" s="287">
        <v>0.52073991031390099</v>
      </c>
      <c r="I1089" s="211">
        <v>12.220720720720699</v>
      </c>
      <c r="J1089" s="211">
        <v>0.34221704038988399</v>
      </c>
      <c r="K1089" s="288">
        <v>1221.0304001111101</v>
      </c>
    </row>
    <row r="1090" spans="2:11" x14ac:dyDescent="0.2">
      <c r="B1090">
        <v>17</v>
      </c>
      <c r="C1090">
        <v>3218</v>
      </c>
      <c r="D1090" s="308" t="s">
        <v>1662</v>
      </c>
      <c r="E1090" s="291">
        <v>1418</v>
      </c>
      <c r="F1090" s="291">
        <v>792</v>
      </c>
      <c r="G1090" s="291">
        <v>198</v>
      </c>
      <c r="H1090" s="287">
        <v>0.55853314527503495</v>
      </c>
      <c r="I1090" s="211">
        <v>11.1616161616162</v>
      </c>
      <c r="J1090" s="211">
        <v>0.26825705643945402</v>
      </c>
      <c r="K1090" s="288">
        <v>380.38850603114599</v>
      </c>
    </row>
    <row r="1091" spans="2:11" x14ac:dyDescent="0.2">
      <c r="B1091">
        <v>17</v>
      </c>
      <c r="C1091">
        <v>3219</v>
      </c>
      <c r="D1091" s="308" t="s">
        <v>1663</v>
      </c>
      <c r="E1091" s="291">
        <v>1060</v>
      </c>
      <c r="F1091" s="291">
        <v>289</v>
      </c>
      <c r="G1091" s="291">
        <v>692</v>
      </c>
      <c r="H1091" s="287">
        <v>0.27264150943396198</v>
      </c>
      <c r="I1091" s="211">
        <v>1.9494219653179199</v>
      </c>
      <c r="J1091" s="211">
        <v>-0.43579738786365901</v>
      </c>
      <c r="K1091" s="288">
        <v>-461.94523113547899</v>
      </c>
    </row>
    <row r="1092" spans="2:11" x14ac:dyDescent="0.2">
      <c r="B1092">
        <v>17</v>
      </c>
      <c r="C1092">
        <v>3231</v>
      </c>
      <c r="D1092" s="308" t="s">
        <v>1664</v>
      </c>
      <c r="E1092" s="291">
        <v>7541</v>
      </c>
      <c r="F1092" s="291">
        <v>4898</v>
      </c>
      <c r="G1092" s="291">
        <v>435</v>
      </c>
      <c r="H1092" s="287">
        <v>0.64951597931308802</v>
      </c>
      <c r="I1092" s="211">
        <v>28.595402298850601</v>
      </c>
      <c r="J1092" s="211">
        <v>1.2510315556820899</v>
      </c>
      <c r="K1092" s="288">
        <v>9434.0289613986206</v>
      </c>
    </row>
    <row r="1093" spans="2:11" x14ac:dyDescent="0.2">
      <c r="B1093">
        <v>17</v>
      </c>
      <c r="C1093">
        <v>3232</v>
      </c>
      <c r="D1093" s="308" t="s">
        <v>1665</v>
      </c>
      <c r="E1093" s="291">
        <v>4598</v>
      </c>
      <c r="F1093" s="291">
        <v>3976</v>
      </c>
      <c r="G1093" s="291">
        <v>653</v>
      </c>
      <c r="H1093" s="287">
        <v>0.86472379295345803</v>
      </c>
      <c r="I1093" s="211">
        <v>13.1301684532925</v>
      </c>
      <c r="J1093" s="211">
        <v>0.84100667562473497</v>
      </c>
      <c r="K1093" s="288">
        <v>3866.9486945225299</v>
      </c>
    </row>
    <row r="1094" spans="2:11" x14ac:dyDescent="0.2">
      <c r="B1094">
        <v>17</v>
      </c>
      <c r="C1094">
        <v>3233</v>
      </c>
      <c r="D1094" s="308" t="s">
        <v>1666</v>
      </c>
      <c r="E1094" s="291">
        <v>3956</v>
      </c>
      <c r="F1094" s="291">
        <v>1987</v>
      </c>
      <c r="G1094" s="291">
        <v>554</v>
      </c>
      <c r="H1094" s="287">
        <v>0.50227502527805901</v>
      </c>
      <c r="I1094" s="211">
        <v>10.7274368231047</v>
      </c>
      <c r="J1094" s="211">
        <v>0.279678522713463</v>
      </c>
      <c r="K1094" s="288">
        <v>1106.4082358544599</v>
      </c>
    </row>
    <row r="1095" spans="2:11" x14ac:dyDescent="0.2">
      <c r="B1095">
        <v>17</v>
      </c>
      <c r="C1095">
        <v>3234</v>
      </c>
      <c r="D1095" s="308" t="s">
        <v>1667</v>
      </c>
      <c r="E1095" s="291">
        <v>6456</v>
      </c>
      <c r="F1095" s="291">
        <v>3587</v>
      </c>
      <c r="G1095" s="291">
        <v>1027</v>
      </c>
      <c r="H1095" s="287">
        <v>0.55560718711276302</v>
      </c>
      <c r="I1095" s="211">
        <v>9.7789678675754601</v>
      </c>
      <c r="J1095" s="211">
        <v>0.40668441565235097</v>
      </c>
      <c r="K1095" s="288">
        <v>2625.5545874515801</v>
      </c>
    </row>
    <row r="1096" spans="2:11" x14ac:dyDescent="0.2">
      <c r="B1096">
        <v>17</v>
      </c>
      <c r="C1096">
        <v>3235</v>
      </c>
      <c r="D1096" s="308" t="s">
        <v>1668</v>
      </c>
      <c r="E1096" s="291">
        <v>3452</v>
      </c>
      <c r="F1096" s="291">
        <v>1633</v>
      </c>
      <c r="G1096" s="291">
        <v>206</v>
      </c>
      <c r="H1096" s="287">
        <v>0.47305909617613001</v>
      </c>
      <c r="I1096" s="211">
        <v>24.684466019417499</v>
      </c>
      <c r="J1096" s="211">
        <v>0.73344268176069505</v>
      </c>
      <c r="K1096" s="288">
        <v>2531.8441374379199</v>
      </c>
    </row>
    <row r="1097" spans="2:11" x14ac:dyDescent="0.2">
      <c r="B1097">
        <v>17</v>
      </c>
      <c r="C1097">
        <v>3236</v>
      </c>
      <c r="D1097" s="308" t="s">
        <v>1669</v>
      </c>
      <c r="E1097" s="291">
        <v>5841</v>
      </c>
      <c r="F1097" s="291">
        <v>3223</v>
      </c>
      <c r="G1097" s="291">
        <v>643</v>
      </c>
      <c r="H1097" s="287">
        <v>0.55178907721280601</v>
      </c>
      <c r="I1097" s="211">
        <v>14.0964230171073</v>
      </c>
      <c r="J1097" s="211">
        <v>0.53597756079428205</v>
      </c>
      <c r="K1097" s="288">
        <v>3130.6449325993999</v>
      </c>
    </row>
    <row r="1098" spans="2:11" x14ac:dyDescent="0.2">
      <c r="B1098">
        <v>17</v>
      </c>
      <c r="C1098">
        <v>3237</v>
      </c>
      <c r="D1098" s="308" t="s">
        <v>1670</v>
      </c>
      <c r="E1098" s="291">
        <v>6396</v>
      </c>
      <c r="F1098" s="291">
        <v>4148</v>
      </c>
      <c r="G1098" s="291">
        <v>890</v>
      </c>
      <c r="H1098" s="287">
        <v>0.64853033145716099</v>
      </c>
      <c r="I1098" s="211">
        <v>11.847191011235999</v>
      </c>
      <c r="J1098" s="211">
        <v>0.59499842078908904</v>
      </c>
      <c r="K1098" s="288">
        <v>3805.6098993670098</v>
      </c>
    </row>
    <row r="1099" spans="2:11" x14ac:dyDescent="0.2">
      <c r="B1099">
        <v>17</v>
      </c>
      <c r="C1099">
        <v>3238</v>
      </c>
      <c r="D1099" s="308" t="s">
        <v>1671</v>
      </c>
      <c r="E1099" s="291">
        <v>9490</v>
      </c>
      <c r="F1099" s="291">
        <v>4518</v>
      </c>
      <c r="G1099" s="291">
        <v>403</v>
      </c>
      <c r="H1099" s="287">
        <v>0.47608008429926202</v>
      </c>
      <c r="I1099" s="211">
        <v>34.7593052109181</v>
      </c>
      <c r="J1099" s="211">
        <v>1.3354775263826</v>
      </c>
      <c r="K1099" s="288">
        <v>12673.6817253709</v>
      </c>
    </row>
    <row r="1100" spans="2:11" x14ac:dyDescent="0.2">
      <c r="B1100">
        <v>17</v>
      </c>
      <c r="C1100">
        <v>3251</v>
      </c>
      <c r="D1100" s="308" t="s">
        <v>1672</v>
      </c>
      <c r="E1100" s="291">
        <v>11438</v>
      </c>
      <c r="F1100" s="291">
        <v>7181</v>
      </c>
      <c r="G1100" s="291">
        <v>3771</v>
      </c>
      <c r="H1100" s="287">
        <v>0.62781954887218006</v>
      </c>
      <c r="I1100" s="211">
        <v>4.9374171307345502</v>
      </c>
      <c r="J1100" s="211">
        <v>0.50988199407329005</v>
      </c>
      <c r="K1100" s="288">
        <v>5832.0302482102898</v>
      </c>
    </row>
    <row r="1101" spans="2:11" x14ac:dyDescent="0.2">
      <c r="B1101">
        <v>17</v>
      </c>
      <c r="C1101">
        <v>3252</v>
      </c>
      <c r="D1101" s="308" t="s">
        <v>1673</v>
      </c>
      <c r="E1101" s="291">
        <v>1537</v>
      </c>
      <c r="F1101" s="291">
        <v>279</v>
      </c>
      <c r="G1101" s="291">
        <v>545</v>
      </c>
      <c r="H1101" s="287">
        <v>0.18152244632400799</v>
      </c>
      <c r="I1101" s="211">
        <v>3.3321100917431199</v>
      </c>
      <c r="J1101" s="211">
        <v>-0.48003528823860198</v>
      </c>
      <c r="K1101" s="288">
        <v>-737.81423802273105</v>
      </c>
    </row>
    <row r="1102" spans="2:11" x14ac:dyDescent="0.2">
      <c r="B1102">
        <v>17</v>
      </c>
      <c r="C1102">
        <v>3253</v>
      </c>
      <c r="D1102" s="308" t="s">
        <v>1674</v>
      </c>
      <c r="E1102" s="291">
        <v>2095</v>
      </c>
      <c r="F1102" s="291">
        <v>670</v>
      </c>
      <c r="G1102" s="291">
        <v>432</v>
      </c>
      <c r="H1102" s="287">
        <v>0.31980906921240998</v>
      </c>
      <c r="I1102" s="211">
        <v>6.4004629629629601</v>
      </c>
      <c r="J1102" s="211">
        <v>-0.175405097088697</v>
      </c>
      <c r="K1102" s="288">
        <v>-367.47367840082097</v>
      </c>
    </row>
    <row r="1103" spans="2:11" x14ac:dyDescent="0.2">
      <c r="B1103">
        <v>17</v>
      </c>
      <c r="C1103">
        <v>3254</v>
      </c>
      <c r="D1103" s="308" t="s">
        <v>1675</v>
      </c>
      <c r="E1103" s="291">
        <v>8811</v>
      </c>
      <c r="F1103" s="291">
        <v>4507</v>
      </c>
      <c r="G1103" s="291">
        <v>3316</v>
      </c>
      <c r="H1103" s="287">
        <v>0.51151969129497199</v>
      </c>
      <c r="I1103" s="211">
        <v>4.0162846803377601</v>
      </c>
      <c r="J1103" s="211">
        <v>0.23178339788292701</v>
      </c>
      <c r="K1103" s="288">
        <v>2042.24351874647</v>
      </c>
    </row>
    <row r="1104" spans="2:11" x14ac:dyDescent="0.2">
      <c r="B1104">
        <v>17</v>
      </c>
      <c r="C1104">
        <v>3255</v>
      </c>
      <c r="D1104" s="308" t="s">
        <v>1676</v>
      </c>
      <c r="E1104" s="291">
        <v>4480</v>
      </c>
      <c r="F1104" s="291">
        <v>1412</v>
      </c>
      <c r="G1104" s="291">
        <v>430</v>
      </c>
      <c r="H1104" s="287">
        <v>0.31517857142857097</v>
      </c>
      <c r="I1104" s="211">
        <v>13.7023255813953</v>
      </c>
      <c r="J1104" s="211">
        <v>0.17639649124922699</v>
      </c>
      <c r="K1104" s="288">
        <v>790.25628079653904</v>
      </c>
    </row>
    <row r="1105" spans="2:11" x14ac:dyDescent="0.2">
      <c r="B1105">
        <v>17</v>
      </c>
      <c r="C1105">
        <v>3256</v>
      </c>
      <c r="D1105" s="308" t="s">
        <v>1677</v>
      </c>
      <c r="E1105" s="291">
        <v>2305</v>
      </c>
      <c r="F1105" s="291">
        <v>1109</v>
      </c>
      <c r="G1105" s="291">
        <v>882</v>
      </c>
      <c r="H1105" s="287">
        <v>0.48112798264642098</v>
      </c>
      <c r="I1105" s="211">
        <v>3.8707482993197302</v>
      </c>
      <c r="J1105" s="211">
        <v>-5.9777651088478503E-2</v>
      </c>
      <c r="K1105" s="288">
        <v>-137.78748575894301</v>
      </c>
    </row>
    <row r="1106" spans="2:11" x14ac:dyDescent="0.2">
      <c r="B1106">
        <v>17</v>
      </c>
      <c r="C1106">
        <v>3271</v>
      </c>
      <c r="D1106" s="308" t="s">
        <v>1678</v>
      </c>
      <c r="E1106" s="291">
        <v>12531</v>
      </c>
      <c r="F1106" s="291">
        <v>7565</v>
      </c>
      <c r="G1106" s="291">
        <v>1486</v>
      </c>
      <c r="H1106" s="287">
        <v>0.60370281701380601</v>
      </c>
      <c r="I1106" s="211">
        <v>13.5235531628533</v>
      </c>
      <c r="J1106" s="211">
        <v>0.83502728320684605</v>
      </c>
      <c r="K1106" s="288">
        <v>10463.726885865</v>
      </c>
    </row>
    <row r="1107" spans="2:11" x14ac:dyDescent="0.2">
      <c r="B1107">
        <v>17</v>
      </c>
      <c r="C1107">
        <v>3272</v>
      </c>
      <c r="D1107" s="308" t="s">
        <v>1679</v>
      </c>
      <c r="E1107" s="291">
        <v>3339</v>
      </c>
      <c r="F1107" s="291">
        <v>1171</v>
      </c>
      <c r="G1107" s="291">
        <v>2148</v>
      </c>
      <c r="H1107" s="287">
        <v>0.350703803533992</v>
      </c>
      <c r="I1107" s="211">
        <v>2.0996275605214199</v>
      </c>
      <c r="J1107" s="211">
        <v>-0.246505728785198</v>
      </c>
      <c r="K1107" s="288">
        <v>-823.082628413777</v>
      </c>
    </row>
    <row r="1108" spans="2:11" x14ac:dyDescent="0.2">
      <c r="B1108">
        <v>17</v>
      </c>
      <c r="C1108">
        <v>3273</v>
      </c>
      <c r="D1108" s="308" t="s">
        <v>1680</v>
      </c>
      <c r="E1108" s="291">
        <v>6884</v>
      </c>
      <c r="F1108" s="291">
        <v>3311</v>
      </c>
      <c r="G1108" s="291">
        <v>4807</v>
      </c>
      <c r="H1108" s="287">
        <v>0.480970366066241</v>
      </c>
      <c r="I1108" s="211">
        <v>2.12086540461826</v>
      </c>
      <c r="J1108" s="211">
        <v>5.1143361781783699E-2</v>
      </c>
      <c r="K1108" s="288">
        <v>352.07090250579898</v>
      </c>
    </row>
    <row r="1109" spans="2:11" x14ac:dyDescent="0.2">
      <c r="B1109">
        <v>17</v>
      </c>
      <c r="C1109">
        <v>3274</v>
      </c>
      <c r="D1109" s="308" t="s">
        <v>1681</v>
      </c>
      <c r="E1109" s="291">
        <v>5455</v>
      </c>
      <c r="F1109" s="291">
        <v>3720</v>
      </c>
      <c r="G1109" s="291">
        <v>3697</v>
      </c>
      <c r="H1109" s="287">
        <v>0.68194317140238303</v>
      </c>
      <c r="I1109" s="211">
        <v>2.4817419529348101</v>
      </c>
      <c r="J1109" s="211">
        <v>0.25874697980327599</v>
      </c>
      <c r="K1109" s="288">
        <v>1411.4647748268701</v>
      </c>
    </row>
    <row r="1110" spans="2:11" x14ac:dyDescent="0.2">
      <c r="B1110">
        <v>17</v>
      </c>
      <c r="C1110">
        <v>3275</v>
      </c>
      <c r="D1110" s="308" t="s">
        <v>1682</v>
      </c>
      <c r="E1110" s="291">
        <v>4999</v>
      </c>
      <c r="F1110" s="291">
        <v>2363</v>
      </c>
      <c r="G1110" s="291">
        <v>2790</v>
      </c>
      <c r="H1110" s="287">
        <v>0.47269453890778201</v>
      </c>
      <c r="I1110" s="211">
        <v>2.6387096774193499</v>
      </c>
      <c r="J1110" s="211">
        <v>-1.22429423842942E-2</v>
      </c>
      <c r="K1110" s="288">
        <v>-61.202468979086497</v>
      </c>
    </row>
    <row r="1111" spans="2:11" x14ac:dyDescent="0.2">
      <c r="B1111">
        <v>17</v>
      </c>
      <c r="C1111">
        <v>3276</v>
      </c>
      <c r="D1111" s="308" t="s">
        <v>1683</v>
      </c>
      <c r="E1111" s="291">
        <v>5237</v>
      </c>
      <c r="F1111" s="291">
        <v>1835</v>
      </c>
      <c r="G1111" s="291">
        <v>3800</v>
      </c>
      <c r="H1111" s="287">
        <v>0.35039144548405599</v>
      </c>
      <c r="I1111" s="211">
        <v>1.86105263157895</v>
      </c>
      <c r="J1111" s="211">
        <v>-0.18307567362635499</v>
      </c>
      <c r="K1111" s="288">
        <v>-958.76730278122</v>
      </c>
    </row>
    <row r="1112" spans="2:11" x14ac:dyDescent="0.2">
      <c r="B1112">
        <v>17</v>
      </c>
      <c r="C1112">
        <v>3291</v>
      </c>
      <c r="D1112" s="308" t="s">
        <v>1684</v>
      </c>
      <c r="E1112" s="291">
        <v>5874</v>
      </c>
      <c r="F1112" s="291">
        <v>3237</v>
      </c>
      <c r="G1112" s="291">
        <v>2263</v>
      </c>
      <c r="H1112" s="287">
        <v>0.55107252298263498</v>
      </c>
      <c r="I1112" s="211">
        <v>4.02607158638975</v>
      </c>
      <c r="J1112" s="211">
        <v>0.16893171424561301</v>
      </c>
      <c r="K1112" s="288">
        <v>992.30488947873198</v>
      </c>
    </row>
    <row r="1113" spans="2:11" x14ac:dyDescent="0.2">
      <c r="B1113">
        <v>17</v>
      </c>
      <c r="C1113">
        <v>3292</v>
      </c>
      <c r="D1113" s="308" t="s">
        <v>1685</v>
      </c>
      <c r="E1113" s="291">
        <v>4919</v>
      </c>
      <c r="F1113" s="291">
        <v>2478</v>
      </c>
      <c r="G1113" s="291">
        <v>6621</v>
      </c>
      <c r="H1113" s="287">
        <v>0.50376092701768604</v>
      </c>
      <c r="I1113" s="211">
        <v>1.11720283945023</v>
      </c>
      <c r="J1113" s="211">
        <v>-3.2315833599525598E-2</v>
      </c>
      <c r="K1113" s="288">
        <v>-158.96158547606601</v>
      </c>
    </row>
    <row r="1114" spans="2:11" x14ac:dyDescent="0.2">
      <c r="B1114">
        <v>17</v>
      </c>
      <c r="C1114">
        <v>3293</v>
      </c>
      <c r="D1114" s="308" t="s">
        <v>1686</v>
      </c>
      <c r="E1114" s="291">
        <v>8605</v>
      </c>
      <c r="F1114" s="291">
        <v>3672</v>
      </c>
      <c r="G1114" s="291">
        <v>10345</v>
      </c>
      <c r="H1114" s="287">
        <v>0.426728646135967</v>
      </c>
      <c r="I1114" s="211">
        <v>1.1867568873852099</v>
      </c>
      <c r="J1114" s="211">
        <v>1.5606323855251999E-2</v>
      </c>
      <c r="K1114" s="288">
        <v>134.29241677444301</v>
      </c>
    </row>
    <row r="1115" spans="2:11" x14ac:dyDescent="0.2">
      <c r="B1115">
        <v>17</v>
      </c>
      <c r="C1115">
        <v>3294</v>
      </c>
      <c r="D1115" s="308" t="s">
        <v>1687</v>
      </c>
      <c r="E1115" s="291">
        <v>1572</v>
      </c>
      <c r="F1115" s="291">
        <v>1221</v>
      </c>
      <c r="G1115" s="291">
        <v>7709</v>
      </c>
      <c r="H1115" s="287">
        <v>0.77671755725190805</v>
      </c>
      <c r="I1115" s="211">
        <v>0.36230380075236701</v>
      </c>
      <c r="J1115" s="211">
        <v>0.15049249663947101</v>
      </c>
      <c r="K1115" s="288">
        <v>236.57420471724799</v>
      </c>
    </row>
    <row r="1116" spans="2:11" x14ac:dyDescent="0.2">
      <c r="B1116">
        <v>17</v>
      </c>
      <c r="C1116">
        <v>3295</v>
      </c>
      <c r="D1116" s="308" t="s">
        <v>1688</v>
      </c>
      <c r="E1116" s="291">
        <v>2873</v>
      </c>
      <c r="F1116" s="291">
        <v>1105</v>
      </c>
      <c r="G1116" s="291">
        <v>5147</v>
      </c>
      <c r="H1116" s="287">
        <v>0.38461538461538503</v>
      </c>
      <c r="I1116" s="211">
        <v>0.77287740431319196</v>
      </c>
      <c r="J1116" s="211">
        <v>-0.27069607675047802</v>
      </c>
      <c r="K1116" s="288">
        <v>-777.70982850412395</v>
      </c>
    </row>
    <row r="1117" spans="2:11" x14ac:dyDescent="0.2">
      <c r="B1117">
        <v>17</v>
      </c>
      <c r="C1117">
        <v>3296</v>
      </c>
      <c r="D1117" s="308" t="s">
        <v>1689</v>
      </c>
      <c r="E1117" s="291">
        <v>6063</v>
      </c>
      <c r="F1117" s="291">
        <v>3795</v>
      </c>
      <c r="G1117" s="291">
        <v>884</v>
      </c>
      <c r="H1117" s="287">
        <v>0.62592775853537896</v>
      </c>
      <c r="I1117" s="211">
        <v>11.1515837104072</v>
      </c>
      <c r="J1117" s="211">
        <v>0.52888699482511403</v>
      </c>
      <c r="K1117" s="288">
        <v>3206.6418496246702</v>
      </c>
    </row>
    <row r="1118" spans="2:11" x14ac:dyDescent="0.2">
      <c r="B1118">
        <v>17</v>
      </c>
      <c r="C1118">
        <v>3297</v>
      </c>
      <c r="D1118" s="308" t="s">
        <v>1690</v>
      </c>
      <c r="E1118" s="291">
        <v>4738</v>
      </c>
      <c r="F1118" s="291">
        <v>1558</v>
      </c>
      <c r="G1118" s="291">
        <v>2766</v>
      </c>
      <c r="H1118" s="287">
        <v>0.32883073026593501</v>
      </c>
      <c r="I1118" s="211">
        <v>2.2762111352133001</v>
      </c>
      <c r="J1118" s="211">
        <v>-0.213712321352278</v>
      </c>
      <c r="K1118" s="288">
        <v>-1012.56897856709</v>
      </c>
    </row>
    <row r="1119" spans="2:11" x14ac:dyDescent="0.2">
      <c r="B1119">
        <v>17</v>
      </c>
      <c r="C1119">
        <v>3298</v>
      </c>
      <c r="D1119" s="308" t="s">
        <v>1691</v>
      </c>
      <c r="E1119" s="291">
        <v>5590</v>
      </c>
      <c r="F1119" s="291">
        <v>2220</v>
      </c>
      <c r="G1119" s="291">
        <v>3701</v>
      </c>
      <c r="H1119" s="287">
        <v>0.39713774597495499</v>
      </c>
      <c r="I1119" s="211">
        <v>2.1102404755471502</v>
      </c>
      <c r="J1119" s="211">
        <v>-0.102569721795038</v>
      </c>
      <c r="K1119" s="288">
        <v>-573.364744834264</v>
      </c>
    </row>
    <row r="1120" spans="2:11" x14ac:dyDescent="0.2">
      <c r="B1120">
        <v>17</v>
      </c>
      <c r="C1120">
        <v>3311</v>
      </c>
      <c r="D1120" s="308" t="s">
        <v>1692</v>
      </c>
      <c r="E1120" s="291">
        <v>1793</v>
      </c>
      <c r="F1120" s="291">
        <v>521</v>
      </c>
      <c r="G1120" s="291">
        <v>3784</v>
      </c>
      <c r="H1120" s="287">
        <v>0.29057445621862799</v>
      </c>
      <c r="I1120" s="211">
        <v>0.61152219873150104</v>
      </c>
      <c r="J1120" s="211">
        <v>-0.43438152848188</v>
      </c>
      <c r="K1120" s="288">
        <v>-778.84608056801096</v>
      </c>
    </row>
    <row r="1121" spans="2:11" x14ac:dyDescent="0.2">
      <c r="B1121">
        <v>17</v>
      </c>
      <c r="C1121">
        <v>3312</v>
      </c>
      <c r="D1121" s="308" t="s">
        <v>1693</v>
      </c>
      <c r="E1121" s="291">
        <v>2916</v>
      </c>
      <c r="F1121" s="291">
        <v>1179</v>
      </c>
      <c r="G1121" s="291">
        <v>1546</v>
      </c>
      <c r="H1121" s="287">
        <v>0.40432098765432101</v>
      </c>
      <c r="I1121" s="211">
        <v>2.64877102199224</v>
      </c>
      <c r="J1121" s="211">
        <v>-0.17619223059362499</v>
      </c>
      <c r="K1121" s="288">
        <v>-513.77654441101197</v>
      </c>
    </row>
    <row r="1122" spans="2:11" x14ac:dyDescent="0.2">
      <c r="B1122">
        <v>17</v>
      </c>
      <c r="C1122">
        <v>3313</v>
      </c>
      <c r="D1122" s="308" t="s">
        <v>1694</v>
      </c>
      <c r="E1122" s="291">
        <v>4791</v>
      </c>
      <c r="F1122" s="291">
        <v>1578</v>
      </c>
      <c r="G1122" s="291">
        <v>1791</v>
      </c>
      <c r="H1122" s="287">
        <v>0.32936756418284302</v>
      </c>
      <c r="I1122" s="211">
        <v>3.5561139028475699</v>
      </c>
      <c r="J1122" s="211">
        <v>-0.16432447998486199</v>
      </c>
      <c r="K1122" s="288">
        <v>-787.278583607472</v>
      </c>
    </row>
    <row r="1123" spans="2:11" x14ac:dyDescent="0.2">
      <c r="B1123">
        <v>17</v>
      </c>
      <c r="C1123">
        <v>3315</v>
      </c>
      <c r="D1123" s="308" t="s">
        <v>1695</v>
      </c>
      <c r="E1123" s="291">
        <v>3758</v>
      </c>
      <c r="F1123" s="291">
        <v>1405</v>
      </c>
      <c r="G1123" s="291">
        <v>3797</v>
      </c>
      <c r="H1123" s="287">
        <v>0.37386907929749902</v>
      </c>
      <c r="I1123" s="211">
        <v>1.3597577034500901</v>
      </c>
      <c r="J1123" s="211">
        <v>-0.22878468483065001</v>
      </c>
      <c r="K1123" s="288">
        <v>-859.77284559358304</v>
      </c>
    </row>
    <row r="1124" spans="2:11" x14ac:dyDescent="0.2">
      <c r="B1124">
        <v>17</v>
      </c>
      <c r="C1124">
        <v>3316</v>
      </c>
      <c r="D1124" s="308" t="s">
        <v>1696</v>
      </c>
      <c r="E1124" s="291">
        <v>1635</v>
      </c>
      <c r="F1124" s="291">
        <v>567</v>
      </c>
      <c r="G1124" s="291">
        <v>521</v>
      </c>
      <c r="H1124" s="287">
        <v>0.34678899082568798</v>
      </c>
      <c r="I1124" s="211">
        <v>4.2264875239923203</v>
      </c>
      <c r="J1124" s="211">
        <v>-0.23886683979096801</v>
      </c>
      <c r="K1124" s="288">
        <v>-390.54728305823301</v>
      </c>
    </row>
    <row r="1125" spans="2:11" x14ac:dyDescent="0.2">
      <c r="B1125">
        <v>17</v>
      </c>
      <c r="C1125">
        <v>3338</v>
      </c>
      <c r="D1125" s="308" t="s">
        <v>1697</v>
      </c>
      <c r="E1125" s="291">
        <v>3738</v>
      </c>
      <c r="F1125" s="291">
        <v>1545</v>
      </c>
      <c r="G1125" s="291">
        <v>366</v>
      </c>
      <c r="H1125" s="287">
        <v>0.413322632423756</v>
      </c>
      <c r="I1125" s="211">
        <v>14.434426229508199</v>
      </c>
      <c r="J1125" s="211">
        <v>0.29637250851838598</v>
      </c>
      <c r="K1125" s="288">
        <v>1107.84043684173</v>
      </c>
    </row>
    <row r="1126" spans="2:11" x14ac:dyDescent="0.2">
      <c r="B1126">
        <v>17</v>
      </c>
      <c r="C1126">
        <v>3339</v>
      </c>
      <c r="D1126" s="308" t="s">
        <v>1698</v>
      </c>
      <c r="E1126" s="291">
        <v>6340</v>
      </c>
      <c r="F1126" s="291">
        <v>3848</v>
      </c>
      <c r="G1126" s="291">
        <v>711</v>
      </c>
      <c r="H1126" s="287">
        <v>0.60694006309148296</v>
      </c>
      <c r="I1126" s="211">
        <v>14.329113924050599</v>
      </c>
      <c r="J1126" s="211">
        <v>0.63187498586885404</v>
      </c>
      <c r="K1126" s="288">
        <v>4006.0874104085301</v>
      </c>
    </row>
    <row r="1127" spans="2:11" x14ac:dyDescent="0.2">
      <c r="B1127">
        <v>17</v>
      </c>
      <c r="C1127">
        <v>3340</v>
      </c>
      <c r="D1127" s="308" t="s">
        <v>1699</v>
      </c>
      <c r="E1127" s="291">
        <v>26962</v>
      </c>
      <c r="F1127" s="291">
        <v>16941</v>
      </c>
      <c r="G1127" s="291">
        <v>2143</v>
      </c>
      <c r="H1127" s="287">
        <v>0.62832875899413998</v>
      </c>
      <c r="I1127" s="211">
        <v>20.486700886607601</v>
      </c>
      <c r="J1127" s="211">
        <v>1.6709955902559801</v>
      </c>
      <c r="K1127" s="288">
        <v>45053.383104481603</v>
      </c>
    </row>
    <row r="1128" spans="2:11" x14ac:dyDescent="0.2">
      <c r="B1128">
        <v>17</v>
      </c>
      <c r="C1128">
        <v>3341</v>
      </c>
      <c r="D1128" s="308" t="s">
        <v>1700</v>
      </c>
      <c r="E1128" s="291">
        <v>5053</v>
      </c>
      <c r="F1128" s="291">
        <v>1354</v>
      </c>
      <c r="G1128" s="291">
        <v>3301</v>
      </c>
      <c r="H1128" s="287">
        <v>0.26795962794379602</v>
      </c>
      <c r="I1128" s="211">
        <v>1.94092699182066</v>
      </c>
      <c r="J1128" s="211">
        <v>-0.28933853668394799</v>
      </c>
      <c r="K1128" s="288">
        <v>-1462.0276258639899</v>
      </c>
    </row>
    <row r="1129" spans="2:11" x14ac:dyDescent="0.2">
      <c r="B1129">
        <v>17</v>
      </c>
      <c r="C1129">
        <v>3342</v>
      </c>
      <c r="D1129" s="308" t="s">
        <v>1701</v>
      </c>
      <c r="E1129" s="291">
        <v>9245</v>
      </c>
      <c r="F1129" s="291">
        <v>4117</v>
      </c>
      <c r="G1129" s="291">
        <v>5454</v>
      </c>
      <c r="H1129" s="287">
        <v>0.44532179556516999</v>
      </c>
      <c r="I1129" s="211">
        <v>2.4499449944994498</v>
      </c>
      <c r="J1129" s="211">
        <v>0.109188024859227</v>
      </c>
      <c r="K1129" s="288">
        <v>1009.44328982356</v>
      </c>
    </row>
    <row r="1130" spans="2:11" x14ac:dyDescent="0.2">
      <c r="B1130">
        <v>17</v>
      </c>
      <c r="C1130">
        <v>3352</v>
      </c>
      <c r="D1130" s="308" t="s">
        <v>1702</v>
      </c>
      <c r="E1130" s="291">
        <v>5034</v>
      </c>
      <c r="F1130" s="291">
        <v>2160</v>
      </c>
      <c r="G1130" s="291">
        <v>4195</v>
      </c>
      <c r="H1130" s="287">
        <v>0.42908224076281298</v>
      </c>
      <c r="I1130" s="211">
        <v>1.7148986889153801</v>
      </c>
      <c r="J1130" s="211">
        <v>-9.8653840047477306E-2</v>
      </c>
      <c r="K1130" s="288">
        <v>-496.62343079900103</v>
      </c>
    </row>
    <row r="1131" spans="2:11" x14ac:dyDescent="0.2">
      <c r="B1131">
        <v>17</v>
      </c>
      <c r="C1131">
        <v>3359</v>
      </c>
      <c r="D1131" s="308" t="s">
        <v>1703</v>
      </c>
      <c r="E1131" s="291">
        <v>2667</v>
      </c>
      <c r="F1131" s="291">
        <v>1498</v>
      </c>
      <c r="G1131" s="291">
        <v>7215</v>
      </c>
      <c r="H1131" s="287">
        <v>0.56167979002624702</v>
      </c>
      <c r="I1131" s="211">
        <v>0.57726957726957695</v>
      </c>
      <c r="J1131" s="211">
        <v>-6.62921557791816E-2</v>
      </c>
      <c r="K1131" s="288">
        <v>-176.80117946307701</v>
      </c>
    </row>
    <row r="1132" spans="2:11" x14ac:dyDescent="0.2">
      <c r="B1132">
        <v>17</v>
      </c>
      <c r="C1132">
        <v>3360</v>
      </c>
      <c r="D1132" s="308" t="s">
        <v>1704</v>
      </c>
      <c r="E1132" s="291">
        <v>3611</v>
      </c>
      <c r="F1132" s="291">
        <v>1886</v>
      </c>
      <c r="G1132" s="291">
        <v>8618</v>
      </c>
      <c r="H1132" s="287">
        <v>0.52229299363057302</v>
      </c>
      <c r="I1132" s="211">
        <v>0.63785100951496898</v>
      </c>
      <c r="J1132" s="211">
        <v>-7.6818796666912895E-2</v>
      </c>
      <c r="K1132" s="288">
        <v>-277.39267476422202</v>
      </c>
    </row>
    <row r="1133" spans="2:11" x14ac:dyDescent="0.2">
      <c r="B1133">
        <v>17</v>
      </c>
      <c r="C1133">
        <v>3372</v>
      </c>
      <c r="D1133" s="308" t="s">
        <v>1705</v>
      </c>
      <c r="E1133" s="291">
        <v>914</v>
      </c>
      <c r="F1133" s="291">
        <v>328</v>
      </c>
      <c r="G1133" s="291">
        <v>1968</v>
      </c>
      <c r="H1133" s="287">
        <v>0.35886214442013098</v>
      </c>
      <c r="I1133" s="211">
        <v>0.63109756097560998</v>
      </c>
      <c r="J1133" s="211">
        <v>-0.38263378604266002</v>
      </c>
      <c r="K1133" s="288">
        <v>-349.727280442991</v>
      </c>
    </row>
    <row r="1134" spans="2:11" x14ac:dyDescent="0.2">
      <c r="B1134">
        <v>17</v>
      </c>
      <c r="C1134">
        <v>3374</v>
      </c>
      <c r="D1134" s="308" t="s">
        <v>1706</v>
      </c>
      <c r="E1134" s="291">
        <v>1907</v>
      </c>
      <c r="F1134" s="291">
        <v>766</v>
      </c>
      <c r="G1134" s="291">
        <v>272</v>
      </c>
      <c r="H1134" s="287">
        <v>0.401678028316728</v>
      </c>
      <c r="I1134" s="211">
        <v>9.8272058823529402</v>
      </c>
      <c r="J1134" s="211">
        <v>4.3886017658946098E-2</v>
      </c>
      <c r="K1134" s="288">
        <v>83.690635675610196</v>
      </c>
    </row>
    <row r="1135" spans="2:11" x14ac:dyDescent="0.2">
      <c r="B1135">
        <v>17</v>
      </c>
      <c r="C1135">
        <v>3375</v>
      </c>
      <c r="D1135" s="308" t="s">
        <v>1707</v>
      </c>
      <c r="E1135" s="291">
        <v>1296</v>
      </c>
      <c r="F1135" s="291">
        <v>465</v>
      </c>
      <c r="G1135" s="291">
        <v>1257</v>
      </c>
      <c r="H1135" s="287">
        <v>0.358796296296296</v>
      </c>
      <c r="I1135" s="211">
        <v>1.40095465393795</v>
      </c>
      <c r="J1135" s="211">
        <v>-0.34003097190158299</v>
      </c>
      <c r="K1135" s="288">
        <v>-440.68013958445101</v>
      </c>
    </row>
    <row r="1136" spans="2:11" x14ac:dyDescent="0.2">
      <c r="B1136">
        <v>17</v>
      </c>
      <c r="C1136">
        <v>3378</v>
      </c>
      <c r="D1136" s="308" t="s">
        <v>1708</v>
      </c>
      <c r="E1136" s="291">
        <v>4014</v>
      </c>
      <c r="F1136" s="291">
        <v>1498</v>
      </c>
      <c r="G1136" s="291">
        <v>4843</v>
      </c>
      <c r="H1136" s="287">
        <v>0.37319382162431503</v>
      </c>
      <c r="I1136" s="211">
        <v>1.1381375180673099</v>
      </c>
      <c r="J1136" s="211">
        <v>-0.22792567351002799</v>
      </c>
      <c r="K1136" s="288">
        <v>-914.89365346925297</v>
      </c>
    </row>
    <row r="1137" spans="2:11" x14ac:dyDescent="0.2">
      <c r="B1137">
        <v>17</v>
      </c>
      <c r="C1137">
        <v>3379</v>
      </c>
      <c r="D1137" s="308" t="s">
        <v>1709</v>
      </c>
      <c r="E1137" s="291">
        <v>8630</v>
      </c>
      <c r="F1137" s="291">
        <v>4856</v>
      </c>
      <c r="G1137" s="291">
        <v>5009</v>
      </c>
      <c r="H1137" s="287">
        <v>0.56268829663962905</v>
      </c>
      <c r="I1137" s="211">
        <v>2.69235376322619</v>
      </c>
      <c r="J1137" s="211">
        <v>0.23996989502556301</v>
      </c>
      <c r="K1137" s="288">
        <v>2070.9401940706098</v>
      </c>
    </row>
    <row r="1138" spans="2:11" x14ac:dyDescent="0.2">
      <c r="B1138">
        <v>17</v>
      </c>
      <c r="C1138">
        <v>3392</v>
      </c>
      <c r="D1138" s="308" t="s">
        <v>1710</v>
      </c>
      <c r="E1138" s="291">
        <v>8977</v>
      </c>
      <c r="F1138" s="291">
        <v>4942</v>
      </c>
      <c r="G1138" s="291">
        <v>4197</v>
      </c>
      <c r="H1138" s="287">
        <v>0.55051799041996197</v>
      </c>
      <c r="I1138" s="211">
        <v>3.3164164879675999</v>
      </c>
      <c r="J1138" s="211">
        <v>0.26091662988805098</v>
      </c>
      <c r="K1138" s="288">
        <v>2342.2485865050398</v>
      </c>
    </row>
    <row r="1139" spans="2:11" x14ac:dyDescent="0.2">
      <c r="B1139">
        <v>17</v>
      </c>
      <c r="C1139">
        <v>3393</v>
      </c>
      <c r="D1139" s="308" t="s">
        <v>1711</v>
      </c>
      <c r="E1139" s="291">
        <v>1541</v>
      </c>
      <c r="F1139" s="291">
        <v>656</v>
      </c>
      <c r="G1139" s="291">
        <v>1366</v>
      </c>
      <c r="H1139" s="287">
        <v>0.425697598961713</v>
      </c>
      <c r="I1139" s="211">
        <v>1.6083455344070301</v>
      </c>
      <c r="J1139" s="211">
        <v>-0.24020125741701501</v>
      </c>
      <c r="K1139" s="288">
        <v>-370.15013767962103</v>
      </c>
    </row>
    <row r="1140" spans="2:11" x14ac:dyDescent="0.2">
      <c r="B1140">
        <v>17</v>
      </c>
      <c r="C1140">
        <v>3394</v>
      </c>
      <c r="D1140" s="308" t="s">
        <v>1712</v>
      </c>
      <c r="E1140" s="291">
        <v>2890</v>
      </c>
      <c r="F1140" s="291">
        <v>1076</v>
      </c>
      <c r="G1140" s="291">
        <v>5019</v>
      </c>
      <c r="H1140" s="287">
        <v>0.37231833910034601</v>
      </c>
      <c r="I1140" s="211">
        <v>0.79019725044829603</v>
      </c>
      <c r="J1140" s="211">
        <v>-0.28465265558264902</v>
      </c>
      <c r="K1140" s="288">
        <v>-822.64617463385696</v>
      </c>
    </row>
    <row r="1141" spans="2:11" x14ac:dyDescent="0.2">
      <c r="B1141">
        <v>17</v>
      </c>
      <c r="C1141">
        <v>3395</v>
      </c>
      <c r="D1141" s="308" t="s">
        <v>1713</v>
      </c>
      <c r="E1141" s="291">
        <v>4734</v>
      </c>
      <c r="F1141" s="291">
        <v>2343</v>
      </c>
      <c r="G1141" s="291">
        <v>2133</v>
      </c>
      <c r="H1141" s="287">
        <v>0.49493029150823797</v>
      </c>
      <c r="I1141" s="211">
        <v>3.31786216596343</v>
      </c>
      <c r="J1141" s="211">
        <v>2.99643130366373E-2</v>
      </c>
      <c r="K1141" s="288">
        <v>141.851057915441</v>
      </c>
    </row>
    <row r="1142" spans="2:11" x14ac:dyDescent="0.2">
      <c r="B1142">
        <v>17</v>
      </c>
      <c r="C1142">
        <v>3401</v>
      </c>
      <c r="D1142" s="308" t="s">
        <v>1714</v>
      </c>
      <c r="E1142" s="291">
        <v>3986</v>
      </c>
      <c r="F1142" s="291">
        <v>1755</v>
      </c>
      <c r="G1142" s="291">
        <v>1436</v>
      </c>
      <c r="H1142" s="287">
        <v>0.44029101856497699</v>
      </c>
      <c r="I1142" s="211">
        <v>3.99791086350975</v>
      </c>
      <c r="J1142" s="211">
        <v>-4.1511682549487797E-2</v>
      </c>
      <c r="K1142" s="288">
        <v>-165.46556664225801</v>
      </c>
    </row>
    <row r="1143" spans="2:11" x14ac:dyDescent="0.2">
      <c r="B1143">
        <v>17</v>
      </c>
      <c r="C1143">
        <v>3402</v>
      </c>
      <c r="D1143" s="308" t="s">
        <v>1715</v>
      </c>
      <c r="E1143" s="291">
        <v>10505</v>
      </c>
      <c r="F1143" s="291">
        <v>4464</v>
      </c>
      <c r="G1143" s="291">
        <v>1123</v>
      </c>
      <c r="H1143" s="287">
        <v>0.42494050452165599</v>
      </c>
      <c r="I1143" s="211">
        <v>13.3294746215494</v>
      </c>
      <c r="J1143" s="211">
        <v>0.52901805390965795</v>
      </c>
      <c r="K1143" s="288">
        <v>5557.3346563209598</v>
      </c>
    </row>
    <row r="1144" spans="2:11" x14ac:dyDescent="0.2">
      <c r="B1144">
        <v>17</v>
      </c>
      <c r="C1144">
        <v>3405</v>
      </c>
      <c r="D1144" s="308" t="s">
        <v>1716</v>
      </c>
      <c r="E1144" s="291">
        <v>3788</v>
      </c>
      <c r="F1144" s="291">
        <v>1992</v>
      </c>
      <c r="G1144" s="291">
        <v>1082</v>
      </c>
      <c r="H1144" s="287">
        <v>0.52587117212249201</v>
      </c>
      <c r="I1144" s="211">
        <v>5.3419593345656198</v>
      </c>
      <c r="J1144" s="211">
        <v>0.10600858388659699</v>
      </c>
      <c r="K1144" s="288">
        <v>401.56051576243101</v>
      </c>
    </row>
    <row r="1145" spans="2:11" x14ac:dyDescent="0.2">
      <c r="B1145">
        <v>17</v>
      </c>
      <c r="C1145">
        <v>3407</v>
      </c>
      <c r="D1145" s="308" t="s">
        <v>1717</v>
      </c>
      <c r="E1145" s="291">
        <v>6423</v>
      </c>
      <c r="F1145" s="291">
        <v>2111</v>
      </c>
      <c r="G1145" s="291">
        <v>1386</v>
      </c>
      <c r="H1145" s="287">
        <v>0.32866261871399699</v>
      </c>
      <c r="I1145" s="211">
        <v>6.1572871572871604</v>
      </c>
      <c r="J1145" s="211">
        <v>-7.9358309401434592E-3</v>
      </c>
      <c r="K1145" s="288">
        <v>-50.971842128541397</v>
      </c>
    </row>
    <row r="1146" spans="2:11" x14ac:dyDescent="0.2">
      <c r="B1146">
        <v>17</v>
      </c>
      <c r="C1146">
        <v>3408</v>
      </c>
      <c r="D1146" s="308" t="s">
        <v>1718</v>
      </c>
      <c r="E1146" s="291">
        <v>12816</v>
      </c>
      <c r="F1146" s="291">
        <v>6929</v>
      </c>
      <c r="G1146" s="291">
        <v>1417</v>
      </c>
      <c r="H1146" s="287">
        <v>0.54065230961298405</v>
      </c>
      <c r="I1146" s="211">
        <v>13.9343683839097</v>
      </c>
      <c r="J1146" s="211">
        <v>0.78277573099476305</v>
      </c>
      <c r="K1146" s="288">
        <v>10032.053768428899</v>
      </c>
    </row>
    <row r="1147" spans="2:11" x14ac:dyDescent="0.2">
      <c r="B1147">
        <v>17</v>
      </c>
      <c r="C1147">
        <v>3422</v>
      </c>
      <c r="D1147" s="308" t="s">
        <v>1719</v>
      </c>
      <c r="E1147" s="291">
        <v>1530</v>
      </c>
      <c r="F1147" s="291">
        <v>634</v>
      </c>
      <c r="G1147" s="291">
        <v>1553</v>
      </c>
      <c r="H1147" s="287">
        <v>0.41437908496732001</v>
      </c>
      <c r="I1147" s="211">
        <v>1.39343206696716</v>
      </c>
      <c r="J1147" s="211">
        <v>-0.262488220139657</v>
      </c>
      <c r="K1147" s="288">
        <v>-401.606976813676</v>
      </c>
    </row>
    <row r="1148" spans="2:11" x14ac:dyDescent="0.2">
      <c r="B1148">
        <v>17</v>
      </c>
      <c r="C1148">
        <v>3423</v>
      </c>
      <c r="D1148" s="308" t="s">
        <v>1720</v>
      </c>
      <c r="E1148" s="291">
        <v>3069</v>
      </c>
      <c r="F1148" s="291">
        <v>950</v>
      </c>
      <c r="G1148" s="291">
        <v>1625</v>
      </c>
      <c r="H1148" s="287">
        <v>0.309547083740632</v>
      </c>
      <c r="I1148" s="211">
        <v>2.4732307692307698</v>
      </c>
      <c r="J1148" s="211">
        <v>-0.29419122775948398</v>
      </c>
      <c r="K1148" s="288">
        <v>-902.87287799385695</v>
      </c>
    </row>
    <row r="1149" spans="2:11" x14ac:dyDescent="0.2">
      <c r="B1149">
        <v>17</v>
      </c>
      <c r="C1149">
        <v>3424</v>
      </c>
      <c r="D1149" s="308" t="s">
        <v>1721</v>
      </c>
      <c r="E1149" s="291">
        <v>4358</v>
      </c>
      <c r="F1149" s="291">
        <v>2830</v>
      </c>
      <c r="G1149" s="291">
        <v>1740</v>
      </c>
      <c r="H1149" s="287">
        <v>0.64938044974759102</v>
      </c>
      <c r="I1149" s="211">
        <v>4.1310344827586203</v>
      </c>
      <c r="J1149" s="211">
        <v>0.23665540962402301</v>
      </c>
      <c r="K1149" s="288">
        <v>1031.34427514149</v>
      </c>
    </row>
    <row r="1150" spans="2:11" x14ac:dyDescent="0.2">
      <c r="B1150">
        <v>17</v>
      </c>
      <c r="C1150">
        <v>3426</v>
      </c>
      <c r="D1150" s="308" t="s">
        <v>1722</v>
      </c>
      <c r="E1150" s="291">
        <v>4816</v>
      </c>
      <c r="F1150" s="291">
        <v>1864</v>
      </c>
      <c r="G1150" s="291">
        <v>884</v>
      </c>
      <c r="H1150" s="287">
        <v>0.38704318936877102</v>
      </c>
      <c r="I1150" s="211">
        <v>7.5565610859728496</v>
      </c>
      <c r="J1150" s="211">
        <v>5.4057457080454403E-2</v>
      </c>
      <c r="K1150" s="288">
        <v>260.34071329946801</v>
      </c>
    </row>
    <row r="1151" spans="2:11" x14ac:dyDescent="0.2">
      <c r="B1151">
        <v>17</v>
      </c>
      <c r="C1151">
        <v>3427</v>
      </c>
      <c r="D1151" s="308" t="s">
        <v>1723</v>
      </c>
      <c r="E1151" s="291">
        <v>23751</v>
      </c>
      <c r="F1151" s="291">
        <v>15031</v>
      </c>
      <c r="G1151" s="291">
        <v>2063</v>
      </c>
      <c r="H1151" s="287">
        <v>0.63285756389204695</v>
      </c>
      <c r="I1151" s="211">
        <v>18.798836645661702</v>
      </c>
      <c r="J1151" s="211">
        <v>1.49233484445863</v>
      </c>
      <c r="K1151" s="288">
        <v>35444.444890736901</v>
      </c>
    </row>
    <row r="1152" spans="2:11" x14ac:dyDescent="0.2">
      <c r="B1152">
        <v>17</v>
      </c>
      <c r="C1152">
        <v>3441</v>
      </c>
      <c r="D1152" s="308" t="s">
        <v>1724</v>
      </c>
      <c r="E1152" s="291">
        <v>1909</v>
      </c>
      <c r="F1152" s="291">
        <v>733</v>
      </c>
      <c r="G1152" s="291">
        <v>618</v>
      </c>
      <c r="H1152" s="287">
        <v>0.38397066526977502</v>
      </c>
      <c r="I1152" s="211">
        <v>4.2750809061488697</v>
      </c>
      <c r="J1152" s="211">
        <v>-0.18055030769463801</v>
      </c>
      <c r="K1152" s="288">
        <v>-344.67053738906498</v>
      </c>
    </row>
    <row r="1153" spans="2:11" x14ac:dyDescent="0.2">
      <c r="B1153">
        <v>17</v>
      </c>
      <c r="C1153">
        <v>3442</v>
      </c>
      <c r="D1153" s="308" t="s">
        <v>1725</v>
      </c>
      <c r="E1153" s="291">
        <v>8437</v>
      </c>
      <c r="F1153" s="291">
        <v>2261</v>
      </c>
      <c r="G1153" s="291">
        <v>1250</v>
      </c>
      <c r="H1153" s="287">
        <v>0.267986251037098</v>
      </c>
      <c r="I1153" s="211">
        <v>8.5584000000000007</v>
      </c>
      <c r="J1153" s="211">
        <v>8.14351540673319E-2</v>
      </c>
      <c r="K1153" s="288">
        <v>687.06839486607896</v>
      </c>
    </row>
    <row r="1154" spans="2:11" x14ac:dyDescent="0.2">
      <c r="B1154">
        <v>17</v>
      </c>
      <c r="C1154">
        <v>3443</v>
      </c>
      <c r="D1154" s="308" t="s">
        <v>1726</v>
      </c>
      <c r="E1154" s="291">
        <v>18055</v>
      </c>
      <c r="F1154" s="291">
        <v>12987</v>
      </c>
      <c r="G1154" s="291">
        <v>2709</v>
      </c>
      <c r="H1154" s="287">
        <v>0.71930213237330398</v>
      </c>
      <c r="I1154" s="211">
        <v>11.4588409007014</v>
      </c>
      <c r="J1154" s="211">
        <v>1.1140114709776101</v>
      </c>
      <c r="K1154" s="288">
        <v>20113.4771085008</v>
      </c>
    </row>
    <row r="1155" spans="2:11" x14ac:dyDescent="0.2">
      <c r="B1155">
        <v>17</v>
      </c>
      <c r="C1155">
        <v>3444</v>
      </c>
      <c r="D1155" s="308" t="s">
        <v>1727</v>
      </c>
      <c r="E1155" s="291">
        <v>3509</v>
      </c>
      <c r="F1155" s="291">
        <v>1429</v>
      </c>
      <c r="G1155" s="291">
        <v>3111</v>
      </c>
      <c r="H1155" s="287">
        <v>0.40723852949558298</v>
      </c>
      <c r="I1155" s="211">
        <v>1.5872709739633599</v>
      </c>
      <c r="J1155" s="211">
        <v>-0.18864774819182001</v>
      </c>
      <c r="K1155" s="288">
        <v>-661.96494840509502</v>
      </c>
    </row>
    <row r="1156" spans="2:11" x14ac:dyDescent="0.2">
      <c r="B1156">
        <v>18</v>
      </c>
      <c r="C1156">
        <v>3503</v>
      </c>
      <c r="D1156" s="308" t="s">
        <v>1728</v>
      </c>
      <c r="E1156" s="291">
        <v>67</v>
      </c>
      <c r="F1156" s="291">
        <v>24</v>
      </c>
      <c r="G1156" s="291">
        <v>920</v>
      </c>
      <c r="H1156" s="287">
        <v>0.35820895522388102</v>
      </c>
      <c r="I1156" s="211">
        <v>9.8913043478260895E-2</v>
      </c>
      <c r="J1156" s="211">
        <v>-0.43522347626492502</v>
      </c>
      <c r="K1156" s="288">
        <v>-29.1599729097499</v>
      </c>
    </row>
    <row r="1157" spans="2:11" x14ac:dyDescent="0.2">
      <c r="B1157">
        <v>18</v>
      </c>
      <c r="C1157">
        <v>3506</v>
      </c>
      <c r="D1157" s="308" t="s">
        <v>1729</v>
      </c>
      <c r="E1157" s="291">
        <v>2716</v>
      </c>
      <c r="F1157" s="291">
        <v>2585</v>
      </c>
      <c r="G1157" s="291">
        <v>3705</v>
      </c>
      <c r="H1157" s="287">
        <v>0.95176730486008798</v>
      </c>
      <c r="I1157" s="211">
        <v>1.4307692307692299</v>
      </c>
      <c r="J1157" s="211">
        <v>0.45010268092595901</v>
      </c>
      <c r="K1157" s="288">
        <v>1222.4788813949001</v>
      </c>
    </row>
    <row r="1158" spans="2:11" x14ac:dyDescent="0.2">
      <c r="B1158">
        <v>18</v>
      </c>
      <c r="C1158">
        <v>3513</v>
      </c>
      <c r="D1158" s="308" t="s">
        <v>1730</v>
      </c>
      <c r="E1158" s="291">
        <v>538</v>
      </c>
      <c r="F1158" s="291">
        <v>141</v>
      </c>
      <c r="G1158" s="291">
        <v>1436</v>
      </c>
      <c r="H1158" s="287">
        <v>0.262081784386617</v>
      </c>
      <c r="I1158" s="211">
        <v>0.47284122562674102</v>
      </c>
      <c r="J1158" s="211">
        <v>-0.52270131380437301</v>
      </c>
      <c r="K1158" s="288">
        <v>-281.21330682675301</v>
      </c>
    </row>
    <row r="1159" spans="2:11" x14ac:dyDescent="0.2">
      <c r="B1159">
        <v>18</v>
      </c>
      <c r="C1159">
        <v>3514</v>
      </c>
      <c r="D1159" s="308" t="s">
        <v>1731</v>
      </c>
      <c r="E1159" s="291">
        <v>245</v>
      </c>
      <c r="F1159" s="291">
        <v>81</v>
      </c>
      <c r="G1159" s="291">
        <v>965</v>
      </c>
      <c r="H1159" s="287">
        <v>0.33061224489795898</v>
      </c>
      <c r="I1159" s="211">
        <v>0.33782383419689099</v>
      </c>
      <c r="J1159" s="211">
        <v>-0.45390233571762001</v>
      </c>
      <c r="K1159" s="288">
        <v>-111.206072250817</v>
      </c>
    </row>
    <row r="1160" spans="2:11" x14ac:dyDescent="0.2">
      <c r="B1160">
        <v>18</v>
      </c>
      <c r="C1160">
        <v>3521</v>
      </c>
      <c r="D1160" s="308" t="s">
        <v>1732</v>
      </c>
      <c r="E1160" s="291">
        <v>503</v>
      </c>
      <c r="F1160" s="291">
        <v>376</v>
      </c>
      <c r="G1160" s="291">
        <v>6193</v>
      </c>
      <c r="H1160" s="287">
        <v>0.74751491053677899</v>
      </c>
      <c r="I1160" s="211">
        <v>0.14193444211206199</v>
      </c>
      <c r="J1160" s="211">
        <v>6.5419479775677705E-2</v>
      </c>
      <c r="K1160" s="288">
        <v>32.905998327165896</v>
      </c>
    </row>
    <row r="1161" spans="2:11" x14ac:dyDescent="0.2">
      <c r="B1161">
        <v>18</v>
      </c>
      <c r="C1161">
        <v>3522</v>
      </c>
      <c r="D1161" s="308" t="s">
        <v>1733</v>
      </c>
      <c r="E1161" s="291">
        <v>458</v>
      </c>
      <c r="F1161" s="291">
        <v>216</v>
      </c>
      <c r="G1161" s="291">
        <v>3003</v>
      </c>
      <c r="H1161" s="287">
        <v>0.47161572052401701</v>
      </c>
      <c r="I1161" s="211">
        <v>0.224442224442224</v>
      </c>
      <c r="J1161" s="211">
        <v>-0.27517401804611002</v>
      </c>
      <c r="K1161" s="288">
        <v>-126.029700265118</v>
      </c>
    </row>
    <row r="1162" spans="2:11" x14ac:dyDescent="0.2">
      <c r="B1162">
        <v>18</v>
      </c>
      <c r="C1162">
        <v>3542</v>
      </c>
      <c r="D1162" s="308" t="s">
        <v>1734</v>
      </c>
      <c r="E1162" s="291">
        <v>1331</v>
      </c>
      <c r="F1162" s="291">
        <v>636</v>
      </c>
      <c r="G1162" s="291">
        <v>7252</v>
      </c>
      <c r="H1162" s="287">
        <v>0.47783621337340298</v>
      </c>
      <c r="I1162" s="211">
        <v>0.27123552123552103</v>
      </c>
      <c r="J1162" s="211">
        <v>-0.23240167644391499</v>
      </c>
      <c r="K1162" s="288">
        <v>-309.32663134684998</v>
      </c>
    </row>
    <row r="1163" spans="2:11" x14ac:dyDescent="0.2">
      <c r="B1163">
        <v>18</v>
      </c>
      <c r="C1163">
        <v>3543</v>
      </c>
      <c r="D1163" s="308" t="s">
        <v>1735</v>
      </c>
      <c r="E1163" s="291">
        <v>2356</v>
      </c>
      <c r="F1163" s="291">
        <v>1373</v>
      </c>
      <c r="G1163" s="291">
        <v>19753</v>
      </c>
      <c r="H1163" s="287">
        <v>0.58276740237691005</v>
      </c>
      <c r="I1163" s="211">
        <v>0.18878145091884799</v>
      </c>
      <c r="J1163" s="211">
        <v>-6.6218356293415506E-2</v>
      </c>
      <c r="K1163" s="288">
        <v>-156.010447427287</v>
      </c>
    </row>
    <row r="1164" spans="2:11" x14ac:dyDescent="0.2">
      <c r="B1164">
        <v>18</v>
      </c>
      <c r="C1164">
        <v>3551</v>
      </c>
      <c r="D1164" s="308" t="s">
        <v>1736</v>
      </c>
      <c r="E1164" s="291">
        <v>1122</v>
      </c>
      <c r="F1164" s="291">
        <v>759</v>
      </c>
      <c r="G1164" s="291">
        <v>3395</v>
      </c>
      <c r="H1164" s="287">
        <v>0.67647058823529405</v>
      </c>
      <c r="I1164" s="211">
        <v>0.55405007363770298</v>
      </c>
      <c r="J1164" s="211">
        <v>1.6071687280108E-2</v>
      </c>
      <c r="K1164" s="288">
        <v>18.032433128281198</v>
      </c>
    </row>
    <row r="1165" spans="2:11" x14ac:dyDescent="0.2">
      <c r="B1165">
        <v>18</v>
      </c>
      <c r="C1165">
        <v>3561</v>
      </c>
      <c r="D1165" s="308" t="s">
        <v>1737</v>
      </c>
      <c r="E1165" s="291">
        <v>3534</v>
      </c>
      <c r="F1165" s="291">
        <v>2038</v>
      </c>
      <c r="G1165" s="291">
        <v>10346</v>
      </c>
      <c r="H1165" s="287">
        <v>0.57668364459535904</v>
      </c>
      <c r="I1165" s="211">
        <v>0.538565629228687</v>
      </c>
      <c r="J1165" s="211">
        <v>-1.5984428500062101E-2</v>
      </c>
      <c r="K1165" s="288">
        <v>-56.488970319219497</v>
      </c>
    </row>
    <row r="1166" spans="2:11" x14ac:dyDescent="0.2">
      <c r="B1166">
        <v>18</v>
      </c>
      <c r="C1166">
        <v>3572</v>
      </c>
      <c r="D1166" s="308" t="s">
        <v>1738</v>
      </c>
      <c r="E1166" s="291">
        <v>608</v>
      </c>
      <c r="F1166" s="291">
        <v>166</v>
      </c>
      <c r="G1166" s="291">
        <v>1848</v>
      </c>
      <c r="H1166" s="287">
        <v>0.27302631578947401</v>
      </c>
      <c r="I1166" s="211">
        <v>0.418831168831169</v>
      </c>
      <c r="J1166" s="211">
        <v>-0.50843514796133504</v>
      </c>
      <c r="K1166" s="288">
        <v>-309.12856996049197</v>
      </c>
    </row>
    <row r="1167" spans="2:11" x14ac:dyDescent="0.2">
      <c r="B1167">
        <v>18</v>
      </c>
      <c r="C1167">
        <v>3575</v>
      </c>
      <c r="D1167" s="308" t="s">
        <v>1739</v>
      </c>
      <c r="E1167" s="291">
        <v>1725</v>
      </c>
      <c r="F1167" s="291">
        <v>1387</v>
      </c>
      <c r="G1167" s="291">
        <v>2187</v>
      </c>
      <c r="H1167" s="287">
        <v>0.80405797101449294</v>
      </c>
      <c r="I1167" s="211">
        <v>1.4229538180155501</v>
      </c>
      <c r="J1167" s="211">
        <v>0.228915838745191</v>
      </c>
      <c r="K1167" s="288">
        <v>394.87982183545398</v>
      </c>
    </row>
    <row r="1168" spans="2:11" x14ac:dyDescent="0.2">
      <c r="B1168">
        <v>18</v>
      </c>
      <c r="C1168">
        <v>3581</v>
      </c>
      <c r="D1168" s="308" t="s">
        <v>1740</v>
      </c>
      <c r="E1168" s="291">
        <v>702</v>
      </c>
      <c r="F1168" s="291">
        <v>139</v>
      </c>
      <c r="G1168" s="291">
        <v>608</v>
      </c>
      <c r="H1168" s="287">
        <v>0.19800569800569801</v>
      </c>
      <c r="I1168" s="211">
        <v>1.3832236842105301</v>
      </c>
      <c r="J1168" s="211">
        <v>-0.562620259737594</v>
      </c>
      <c r="K1168" s="288">
        <v>-394.95942233579098</v>
      </c>
    </row>
    <row r="1169" spans="2:11" x14ac:dyDescent="0.2">
      <c r="B1169">
        <v>18</v>
      </c>
      <c r="C1169">
        <v>3582</v>
      </c>
      <c r="D1169" s="308" t="s">
        <v>1741</v>
      </c>
      <c r="E1169" s="291">
        <v>624</v>
      </c>
      <c r="F1169" s="291">
        <v>260</v>
      </c>
      <c r="G1169" s="291">
        <v>447</v>
      </c>
      <c r="H1169" s="287">
        <v>0.41666666666666702</v>
      </c>
      <c r="I1169" s="211">
        <v>1.97762863534676</v>
      </c>
      <c r="J1169" s="211">
        <v>-0.27295677904740701</v>
      </c>
      <c r="K1169" s="288">
        <v>-170.325030125582</v>
      </c>
    </row>
    <row r="1170" spans="2:11" x14ac:dyDescent="0.2">
      <c r="B1170">
        <v>18</v>
      </c>
      <c r="C1170">
        <v>3603</v>
      </c>
      <c r="D1170" s="308" t="s">
        <v>1742</v>
      </c>
      <c r="E1170" s="291">
        <v>984</v>
      </c>
      <c r="F1170" s="291">
        <v>646</v>
      </c>
      <c r="G1170" s="291">
        <v>7891</v>
      </c>
      <c r="H1170" s="287">
        <v>0.65650406504064995</v>
      </c>
      <c r="I1170" s="211">
        <v>0.206564440501838</v>
      </c>
      <c r="J1170" s="211">
        <v>-2.6621103598700301E-2</v>
      </c>
      <c r="K1170" s="288">
        <v>-26.1951659411211</v>
      </c>
    </row>
    <row r="1171" spans="2:11" x14ac:dyDescent="0.2">
      <c r="B1171">
        <v>18</v>
      </c>
      <c r="C1171">
        <v>3611</v>
      </c>
      <c r="D1171" s="308" t="s">
        <v>1743</v>
      </c>
      <c r="E1171" s="291">
        <v>204</v>
      </c>
      <c r="F1171" s="291">
        <v>79</v>
      </c>
      <c r="G1171" s="291">
        <v>996</v>
      </c>
      <c r="H1171" s="287">
        <v>0.38725490196078399</v>
      </c>
      <c r="I1171" s="211">
        <v>0.28413654618473899</v>
      </c>
      <c r="J1171" s="211">
        <v>-0.38723816571004899</v>
      </c>
      <c r="K1171" s="288">
        <v>-78.996585804850099</v>
      </c>
    </row>
    <row r="1172" spans="2:11" x14ac:dyDescent="0.2">
      <c r="B1172">
        <v>18</v>
      </c>
      <c r="C1172">
        <v>3616</v>
      </c>
      <c r="D1172" s="308" t="s">
        <v>1744</v>
      </c>
      <c r="E1172" s="291">
        <v>333</v>
      </c>
      <c r="F1172" s="291">
        <v>107</v>
      </c>
      <c r="G1172" s="291">
        <v>1945</v>
      </c>
      <c r="H1172" s="287">
        <v>0.32132132132132102</v>
      </c>
      <c r="I1172" s="211">
        <v>0.226221079691517</v>
      </c>
      <c r="J1172" s="211">
        <v>-0.46612473112292402</v>
      </c>
      <c r="K1172" s="288">
        <v>-155.21953546393399</v>
      </c>
    </row>
    <row r="1173" spans="2:11" x14ac:dyDescent="0.2">
      <c r="B1173">
        <v>18</v>
      </c>
      <c r="C1173">
        <v>3618</v>
      </c>
      <c r="D1173" s="308" t="s">
        <v>1745</v>
      </c>
      <c r="E1173" s="291">
        <v>2068</v>
      </c>
      <c r="F1173" s="291">
        <v>841</v>
      </c>
      <c r="G1173" s="291">
        <v>11249</v>
      </c>
      <c r="H1173" s="287">
        <v>0.40667311411992302</v>
      </c>
      <c r="I1173" s="211">
        <v>0.25860076451240099</v>
      </c>
      <c r="J1173" s="211">
        <v>-0.29288504043012098</v>
      </c>
      <c r="K1173" s="288">
        <v>-605.68626360948997</v>
      </c>
    </row>
    <row r="1174" spans="2:11" x14ac:dyDescent="0.2">
      <c r="B1174">
        <v>18</v>
      </c>
      <c r="C1174">
        <v>3619</v>
      </c>
      <c r="D1174" s="308" t="s">
        <v>1746</v>
      </c>
      <c r="E1174" s="291">
        <v>4736</v>
      </c>
      <c r="F1174" s="291">
        <v>3315</v>
      </c>
      <c r="G1174" s="291">
        <v>10231</v>
      </c>
      <c r="H1174" s="287">
        <v>0.69995777027026995</v>
      </c>
      <c r="I1174" s="211">
        <v>0.78692209950151504</v>
      </c>
      <c r="J1174" s="211">
        <v>0.19176156746678499</v>
      </c>
      <c r="K1174" s="288">
        <v>908.18278352269294</v>
      </c>
    </row>
    <row r="1175" spans="2:11" x14ac:dyDescent="0.2">
      <c r="B1175">
        <v>18</v>
      </c>
      <c r="C1175">
        <v>3633</v>
      </c>
      <c r="D1175" s="308" t="s">
        <v>1747</v>
      </c>
      <c r="E1175" s="291">
        <v>345</v>
      </c>
      <c r="F1175" s="291">
        <v>165</v>
      </c>
      <c r="G1175" s="291">
        <v>122</v>
      </c>
      <c r="H1175" s="287">
        <v>0.47826086956521702</v>
      </c>
      <c r="I1175" s="211">
        <v>4.1803278688524603</v>
      </c>
      <c r="J1175" s="211">
        <v>-0.12692596116674301</v>
      </c>
      <c r="K1175" s="288">
        <v>-43.789456602526499</v>
      </c>
    </row>
    <row r="1176" spans="2:11" x14ac:dyDescent="0.2">
      <c r="B1176">
        <v>18</v>
      </c>
      <c r="C1176">
        <v>3637</v>
      </c>
      <c r="D1176" s="308" t="s">
        <v>1748</v>
      </c>
      <c r="E1176" s="291">
        <v>304</v>
      </c>
      <c r="F1176" s="291">
        <v>446</v>
      </c>
      <c r="G1176" s="291">
        <v>276</v>
      </c>
      <c r="H1176" s="287">
        <v>1.46710526315789</v>
      </c>
      <c r="I1176" s="211">
        <v>2.7173913043478302</v>
      </c>
      <c r="J1176" s="211">
        <v>1.04347243241969</v>
      </c>
      <c r="K1176" s="288">
        <v>317.21561945558699</v>
      </c>
    </row>
    <row r="1177" spans="2:11" x14ac:dyDescent="0.2">
      <c r="B1177">
        <v>18</v>
      </c>
      <c r="C1177">
        <v>3638</v>
      </c>
      <c r="D1177" s="308" t="s">
        <v>1749</v>
      </c>
      <c r="E1177" s="291">
        <v>818</v>
      </c>
      <c r="F1177" s="291">
        <v>390</v>
      </c>
      <c r="G1177" s="291">
        <v>1338</v>
      </c>
      <c r="H1177" s="287">
        <v>0.47677261613691901</v>
      </c>
      <c r="I1177" s="211">
        <v>0.90284005979073201</v>
      </c>
      <c r="J1177" s="211">
        <v>-0.23027688514804601</v>
      </c>
      <c r="K1177" s="288">
        <v>-188.36649205110101</v>
      </c>
    </row>
    <row r="1178" spans="2:11" x14ac:dyDescent="0.2">
      <c r="B1178">
        <v>18</v>
      </c>
      <c r="C1178">
        <v>3640</v>
      </c>
      <c r="D1178" s="308" t="s">
        <v>1750</v>
      </c>
      <c r="E1178" s="291">
        <v>926</v>
      </c>
      <c r="F1178" s="291">
        <v>283</v>
      </c>
      <c r="G1178" s="291">
        <v>866</v>
      </c>
      <c r="H1178" s="287">
        <v>0.30561555075593999</v>
      </c>
      <c r="I1178" s="211">
        <v>1.3960739030023099</v>
      </c>
      <c r="J1178" s="211">
        <v>-0.42024622410301399</v>
      </c>
      <c r="K1178" s="288">
        <v>-389.14800351939101</v>
      </c>
    </row>
    <row r="1179" spans="2:11" x14ac:dyDescent="0.2">
      <c r="B1179">
        <v>18</v>
      </c>
      <c r="C1179">
        <v>3661</v>
      </c>
      <c r="D1179" s="308" t="s">
        <v>1751</v>
      </c>
      <c r="E1179" s="291">
        <v>2132</v>
      </c>
      <c r="F1179" s="291">
        <v>1164</v>
      </c>
      <c r="G1179" s="291">
        <v>2896</v>
      </c>
      <c r="H1179" s="287">
        <v>0.54596622889305801</v>
      </c>
      <c r="I1179" s="211">
        <v>1.1381215469613299</v>
      </c>
      <c r="J1179" s="211">
        <v>-8.5743104796808703E-2</v>
      </c>
      <c r="K1179" s="288">
        <v>-182.80429942679601</v>
      </c>
    </row>
    <row r="1180" spans="2:11" x14ac:dyDescent="0.2">
      <c r="B1180">
        <v>18</v>
      </c>
      <c r="C1180">
        <v>3662</v>
      </c>
      <c r="D1180" s="308" t="s">
        <v>1752</v>
      </c>
      <c r="E1180" s="291">
        <v>247</v>
      </c>
      <c r="F1180" s="291">
        <v>64</v>
      </c>
      <c r="G1180" s="291">
        <v>515</v>
      </c>
      <c r="H1180" s="287">
        <v>0.25910931174089102</v>
      </c>
      <c r="I1180" s="211">
        <v>0.603883495145631</v>
      </c>
      <c r="J1180" s="211">
        <v>-0.532722546971934</v>
      </c>
      <c r="K1180" s="288">
        <v>-131.58246910206799</v>
      </c>
    </row>
    <row r="1181" spans="2:11" x14ac:dyDescent="0.2">
      <c r="B1181">
        <v>18</v>
      </c>
      <c r="C1181">
        <v>3663</v>
      </c>
      <c r="D1181" s="308" t="s">
        <v>1753</v>
      </c>
      <c r="E1181" s="291">
        <v>478</v>
      </c>
      <c r="F1181" s="291">
        <v>79</v>
      </c>
      <c r="G1181" s="291">
        <v>410</v>
      </c>
      <c r="H1181" s="287">
        <v>0.165271966527197</v>
      </c>
      <c r="I1181" s="211">
        <v>1.35853658536585</v>
      </c>
      <c r="J1181" s="211">
        <v>-0.61264236126512805</v>
      </c>
      <c r="K1181" s="288">
        <v>-292.843048684731</v>
      </c>
    </row>
    <row r="1182" spans="2:11" x14ac:dyDescent="0.2">
      <c r="B1182">
        <v>18</v>
      </c>
      <c r="C1182">
        <v>3668</v>
      </c>
      <c r="D1182" s="308" t="s">
        <v>1754</v>
      </c>
      <c r="E1182" s="291">
        <v>3044</v>
      </c>
      <c r="F1182" s="291">
        <v>2294</v>
      </c>
      <c r="G1182" s="291">
        <v>641</v>
      </c>
      <c r="H1182" s="287">
        <v>0.75361366622864701</v>
      </c>
      <c r="I1182" s="211">
        <v>8.3276131045241808</v>
      </c>
      <c r="J1182" s="211">
        <v>0.46872326065999398</v>
      </c>
      <c r="K1182" s="288">
        <v>1426.7936054490201</v>
      </c>
    </row>
    <row r="1183" spans="2:11" x14ac:dyDescent="0.2">
      <c r="B1183">
        <v>18</v>
      </c>
      <c r="C1183">
        <v>3669</v>
      </c>
      <c r="D1183" s="308" t="s">
        <v>1755</v>
      </c>
      <c r="E1183" s="291">
        <v>128</v>
      </c>
      <c r="F1183" s="291">
        <v>68</v>
      </c>
      <c r="G1183" s="291">
        <v>1622</v>
      </c>
      <c r="H1183" s="287">
        <v>0.53125</v>
      </c>
      <c r="I1183" s="211">
        <v>0.120838471023428</v>
      </c>
      <c r="J1183" s="211">
        <v>-0.21766648592784299</v>
      </c>
      <c r="K1183" s="288">
        <v>-27.861310198763899</v>
      </c>
    </row>
    <row r="1184" spans="2:11" x14ac:dyDescent="0.2">
      <c r="B1184">
        <v>18</v>
      </c>
      <c r="C1184">
        <v>3670</v>
      </c>
      <c r="D1184" s="308" t="s">
        <v>1756</v>
      </c>
      <c r="E1184" s="291">
        <v>147</v>
      </c>
      <c r="F1184" s="291">
        <v>42</v>
      </c>
      <c r="G1184" s="291">
        <v>406</v>
      </c>
      <c r="H1184" s="287">
        <v>0.28571428571428598</v>
      </c>
      <c r="I1184" s="211">
        <v>0.46551724137931</v>
      </c>
      <c r="J1184" s="211">
        <v>-0.50862388504547695</v>
      </c>
      <c r="K1184" s="288">
        <v>-74.767711101685194</v>
      </c>
    </row>
    <row r="1185" spans="2:11" x14ac:dyDescent="0.2">
      <c r="B1185">
        <v>18</v>
      </c>
      <c r="C1185">
        <v>3672</v>
      </c>
      <c r="D1185" s="308" t="s">
        <v>1757</v>
      </c>
      <c r="E1185" s="291">
        <v>897</v>
      </c>
      <c r="F1185" s="291">
        <v>412</v>
      </c>
      <c r="G1185" s="291">
        <v>10758</v>
      </c>
      <c r="H1185" s="287">
        <v>0.45930880713489403</v>
      </c>
      <c r="I1185" s="211">
        <v>0.121676891615542</v>
      </c>
      <c r="J1185" s="211">
        <v>-0.27739976096931102</v>
      </c>
      <c r="K1185" s="288">
        <v>-248.82758558947199</v>
      </c>
    </row>
    <row r="1186" spans="2:11" x14ac:dyDescent="0.2">
      <c r="B1186">
        <v>18</v>
      </c>
      <c r="C1186">
        <v>3673</v>
      </c>
      <c r="D1186" s="308" t="s">
        <v>1758</v>
      </c>
      <c r="E1186" s="291">
        <v>1954</v>
      </c>
      <c r="F1186" s="291">
        <v>476</v>
      </c>
      <c r="G1186" s="291">
        <v>4075</v>
      </c>
      <c r="H1186" s="287">
        <v>0.24360286591607</v>
      </c>
      <c r="I1186" s="211">
        <v>0.59631901840490797</v>
      </c>
      <c r="J1186" s="211">
        <v>-0.48699000575877899</v>
      </c>
      <c r="K1186" s="288">
        <v>-951.57847125265403</v>
      </c>
    </row>
    <row r="1187" spans="2:11" x14ac:dyDescent="0.2">
      <c r="B1187">
        <v>18</v>
      </c>
      <c r="C1187">
        <v>3681</v>
      </c>
      <c r="D1187" s="308" t="s">
        <v>1759</v>
      </c>
      <c r="E1187" s="291">
        <v>168</v>
      </c>
      <c r="F1187" s="291">
        <v>108</v>
      </c>
      <c r="G1187" s="291">
        <v>5200</v>
      </c>
      <c r="H1187" s="287">
        <v>0.64285714285714302</v>
      </c>
      <c r="I1187" s="211">
        <v>5.3076923076923098E-2</v>
      </c>
      <c r="J1187" s="211">
        <v>-8.0310830877510106E-2</v>
      </c>
      <c r="K1187" s="288">
        <v>-13.492219587421699</v>
      </c>
    </row>
    <row r="1188" spans="2:11" x14ac:dyDescent="0.2">
      <c r="B1188">
        <v>18</v>
      </c>
      <c r="C1188">
        <v>3691</v>
      </c>
      <c r="D1188" s="308" t="s">
        <v>1760</v>
      </c>
      <c r="E1188" s="291">
        <v>68</v>
      </c>
      <c r="F1188" s="291">
        <v>30</v>
      </c>
      <c r="G1188" s="291">
        <v>1490</v>
      </c>
      <c r="H1188" s="287">
        <v>0.441176470588235</v>
      </c>
      <c r="I1188" s="211">
        <v>6.5771812080536896E-2</v>
      </c>
      <c r="J1188" s="211">
        <v>-0.33358406082769598</v>
      </c>
      <c r="K1188" s="288">
        <v>-22.683716136283302</v>
      </c>
    </row>
    <row r="1189" spans="2:11" x14ac:dyDescent="0.2">
      <c r="B1189">
        <v>18</v>
      </c>
      <c r="C1189">
        <v>3693</v>
      </c>
      <c r="D1189" s="308" t="s">
        <v>1761</v>
      </c>
      <c r="E1189" s="291">
        <v>150</v>
      </c>
      <c r="F1189" s="291">
        <v>67</v>
      </c>
      <c r="G1189" s="291">
        <v>1872</v>
      </c>
      <c r="H1189" s="287">
        <v>0.44666666666666699</v>
      </c>
      <c r="I1189" s="211">
        <v>0.11591880341880299</v>
      </c>
      <c r="J1189" s="211">
        <v>-0.321818006946271</v>
      </c>
      <c r="K1189" s="288">
        <v>-48.2727010419406</v>
      </c>
    </row>
    <row r="1190" spans="2:11" x14ac:dyDescent="0.2">
      <c r="B1190">
        <v>18</v>
      </c>
      <c r="C1190">
        <v>3694</v>
      </c>
      <c r="D1190" s="308" t="s">
        <v>1762</v>
      </c>
      <c r="E1190" s="291">
        <v>377</v>
      </c>
      <c r="F1190" s="291">
        <v>253</v>
      </c>
      <c r="G1190" s="291">
        <v>3473</v>
      </c>
      <c r="H1190" s="287">
        <v>0.67108753315649905</v>
      </c>
      <c r="I1190" s="211">
        <v>0.18139936654189501</v>
      </c>
      <c r="J1190" s="211">
        <v>-3.2661093596726101E-2</v>
      </c>
      <c r="K1190" s="288">
        <v>-12.3132322859657</v>
      </c>
    </row>
    <row r="1191" spans="2:11" x14ac:dyDescent="0.2">
      <c r="B1191">
        <v>18</v>
      </c>
      <c r="C1191">
        <v>3695</v>
      </c>
      <c r="D1191" s="308" t="s">
        <v>1763</v>
      </c>
      <c r="E1191" s="291">
        <v>126</v>
      </c>
      <c r="F1191" s="291">
        <v>75</v>
      </c>
      <c r="G1191" s="291">
        <v>1343</v>
      </c>
      <c r="H1191" s="287">
        <v>0.59523809523809501</v>
      </c>
      <c r="I1191" s="211">
        <v>0.149664929262844</v>
      </c>
      <c r="J1191" s="211">
        <v>-0.13739941206321499</v>
      </c>
      <c r="K1191" s="288">
        <v>-17.312325919965101</v>
      </c>
    </row>
    <row r="1192" spans="2:11" x14ac:dyDescent="0.2">
      <c r="B1192">
        <v>18</v>
      </c>
      <c r="C1192">
        <v>3701</v>
      </c>
      <c r="D1192" s="308" t="s">
        <v>1764</v>
      </c>
      <c r="E1192" s="291">
        <v>948</v>
      </c>
      <c r="F1192" s="291">
        <v>455</v>
      </c>
      <c r="G1192" s="291">
        <v>3631</v>
      </c>
      <c r="H1192" s="287">
        <v>0.47995780590717302</v>
      </c>
      <c r="I1192" s="211">
        <v>0.38639493252547502</v>
      </c>
      <c r="J1192" s="211">
        <v>-0.240205287192052</v>
      </c>
      <c r="K1192" s="288">
        <v>-227.71461225806499</v>
      </c>
    </row>
    <row r="1193" spans="2:11" x14ac:dyDescent="0.2">
      <c r="B1193">
        <v>18</v>
      </c>
      <c r="C1193">
        <v>3703</v>
      </c>
      <c r="D1193" s="308" t="s">
        <v>1765</v>
      </c>
      <c r="E1193" s="291">
        <v>52</v>
      </c>
      <c r="F1193" s="291">
        <v>27</v>
      </c>
      <c r="G1193" s="291">
        <v>1530</v>
      </c>
      <c r="H1193" s="287">
        <v>0.51923076923076905</v>
      </c>
      <c r="I1193" s="211">
        <v>5.16339869281046E-2</v>
      </c>
      <c r="J1193" s="211">
        <v>-0.237989145227992</v>
      </c>
      <c r="K1193" s="288">
        <v>-12.375435551855601</v>
      </c>
    </row>
    <row r="1194" spans="2:11" x14ac:dyDescent="0.2">
      <c r="B1194">
        <v>18</v>
      </c>
      <c r="C1194">
        <v>3705</v>
      </c>
      <c r="D1194" s="308" t="s">
        <v>1766</v>
      </c>
      <c r="E1194" s="291">
        <v>214</v>
      </c>
      <c r="F1194" s="291">
        <v>123</v>
      </c>
      <c r="G1194" s="291">
        <v>443</v>
      </c>
      <c r="H1194" s="287">
        <v>0.57476635514018704</v>
      </c>
      <c r="I1194" s="211">
        <v>0.76072234762979696</v>
      </c>
      <c r="J1194" s="211">
        <v>-0.137110270310486</v>
      </c>
      <c r="K1194" s="288">
        <v>-29.341597846444099</v>
      </c>
    </row>
    <row r="1195" spans="2:11" x14ac:dyDescent="0.2">
      <c r="B1195">
        <v>18</v>
      </c>
      <c r="C1195">
        <v>3707</v>
      </c>
      <c r="D1195" s="308" t="s">
        <v>1767</v>
      </c>
      <c r="E1195" s="291">
        <v>44</v>
      </c>
      <c r="F1195" s="291">
        <v>24</v>
      </c>
      <c r="G1195" s="291">
        <v>755</v>
      </c>
      <c r="H1195" s="287">
        <v>0.54545454545454497</v>
      </c>
      <c r="I1195" s="211">
        <v>9.0066225165562896E-2</v>
      </c>
      <c r="J1195" s="211">
        <v>-0.204397049567073</v>
      </c>
      <c r="K1195" s="288">
        <v>-8.9934701809511903</v>
      </c>
    </row>
    <row r="1196" spans="2:11" x14ac:dyDescent="0.2">
      <c r="B1196">
        <v>18</v>
      </c>
      <c r="C1196">
        <v>3708</v>
      </c>
      <c r="D1196" s="308" t="s">
        <v>1768</v>
      </c>
      <c r="E1196" s="291">
        <v>51</v>
      </c>
      <c r="F1196" s="291">
        <v>30</v>
      </c>
      <c r="G1196" s="291">
        <v>1208</v>
      </c>
      <c r="H1196" s="287">
        <v>0.58823529411764697</v>
      </c>
      <c r="I1196" s="211">
        <v>6.7052980132450299E-2</v>
      </c>
      <c r="J1196" s="211">
        <v>-0.151956856219961</v>
      </c>
      <c r="K1196" s="288">
        <v>-7.7497996672180296</v>
      </c>
    </row>
    <row r="1197" spans="2:11" x14ac:dyDescent="0.2">
      <c r="B1197">
        <v>18</v>
      </c>
      <c r="C1197">
        <v>3711</v>
      </c>
      <c r="D1197" s="308" t="s">
        <v>1769</v>
      </c>
      <c r="E1197" s="291">
        <v>61</v>
      </c>
      <c r="F1197" s="291">
        <v>6</v>
      </c>
      <c r="G1197" s="291">
        <v>174</v>
      </c>
      <c r="H1197" s="287">
        <v>9.8360655737704902E-2</v>
      </c>
      <c r="I1197" s="211">
        <v>0.38505747126436801</v>
      </c>
      <c r="J1197" s="211">
        <v>-0.74700739203532296</v>
      </c>
      <c r="K1197" s="288">
        <v>-45.567450914154698</v>
      </c>
    </row>
    <row r="1198" spans="2:11" x14ac:dyDescent="0.2">
      <c r="B1198">
        <v>18</v>
      </c>
      <c r="C1198">
        <v>3712</v>
      </c>
      <c r="D1198" s="308" t="s">
        <v>1770</v>
      </c>
      <c r="E1198" s="291">
        <v>391</v>
      </c>
      <c r="F1198" s="291">
        <v>200</v>
      </c>
      <c r="G1198" s="291">
        <v>1949</v>
      </c>
      <c r="H1198" s="287">
        <v>0.51150895140664998</v>
      </c>
      <c r="I1198" s="211">
        <v>0.303232426885582</v>
      </c>
      <c r="J1198" s="211">
        <v>-0.22542511436135901</v>
      </c>
      <c r="K1198" s="288">
        <v>-88.1412197152912</v>
      </c>
    </row>
    <row r="1199" spans="2:11" x14ac:dyDescent="0.2">
      <c r="B1199">
        <v>18</v>
      </c>
      <c r="C1199">
        <v>3713</v>
      </c>
      <c r="D1199" s="308" t="s">
        <v>1771</v>
      </c>
      <c r="E1199" s="291">
        <v>79</v>
      </c>
      <c r="F1199" s="291">
        <v>35</v>
      </c>
      <c r="G1199" s="291">
        <v>3252</v>
      </c>
      <c r="H1199" s="287">
        <v>0.443037974683544</v>
      </c>
      <c r="I1199" s="211">
        <v>3.5055350553505497E-2</v>
      </c>
      <c r="J1199" s="211">
        <v>-0.331977743903551</v>
      </c>
      <c r="K1199" s="288">
        <v>-26.2262417683805</v>
      </c>
    </row>
    <row r="1200" spans="2:11" x14ac:dyDescent="0.2">
      <c r="B1200">
        <v>18</v>
      </c>
      <c r="C1200">
        <v>3721</v>
      </c>
      <c r="D1200" s="308" t="s">
        <v>1772</v>
      </c>
      <c r="E1200" s="291">
        <v>3229</v>
      </c>
      <c r="F1200" s="291">
        <v>1541</v>
      </c>
      <c r="G1200" s="291">
        <v>1360</v>
      </c>
      <c r="H1200" s="287">
        <v>0.47723753484050802</v>
      </c>
      <c r="I1200" s="211">
        <v>3.5073529411764701</v>
      </c>
      <c r="J1200" s="211">
        <v>-4.2551558648602703E-2</v>
      </c>
      <c r="K1200" s="288">
        <v>-137.39898287633801</v>
      </c>
    </row>
    <row r="1201" spans="2:11" x14ac:dyDescent="0.2">
      <c r="B1201">
        <v>18</v>
      </c>
      <c r="C1201">
        <v>3722</v>
      </c>
      <c r="D1201" s="308" t="s">
        <v>1773</v>
      </c>
      <c r="E1201" s="291">
        <v>8043</v>
      </c>
      <c r="F1201" s="291">
        <v>3014</v>
      </c>
      <c r="G1201" s="291">
        <v>2276</v>
      </c>
      <c r="H1201" s="287">
        <v>0.37473579510132998</v>
      </c>
      <c r="I1201" s="211">
        <v>4.8580843585237297</v>
      </c>
      <c r="J1201" s="211">
        <v>6.3654058339214004E-2</v>
      </c>
      <c r="K1201" s="288">
        <v>511.96959122229902</v>
      </c>
    </row>
    <row r="1202" spans="2:11" x14ac:dyDescent="0.2">
      <c r="B1202">
        <v>18</v>
      </c>
      <c r="C1202">
        <v>3723</v>
      </c>
      <c r="D1202" s="308" t="s">
        <v>1774</v>
      </c>
      <c r="E1202" s="291">
        <v>1463</v>
      </c>
      <c r="F1202" s="291">
        <v>335</v>
      </c>
      <c r="G1202" s="291">
        <v>1279</v>
      </c>
      <c r="H1202" s="287">
        <v>0.22898154477101801</v>
      </c>
      <c r="I1202" s="211">
        <v>1.4057857701329199</v>
      </c>
      <c r="J1202" s="211">
        <v>-0.49433551233364598</v>
      </c>
      <c r="K1202" s="288">
        <v>-723.21285454412305</v>
      </c>
    </row>
    <row r="1203" spans="2:11" x14ac:dyDescent="0.2">
      <c r="B1203">
        <v>18</v>
      </c>
      <c r="C1203">
        <v>3731</v>
      </c>
      <c r="D1203" s="308" t="s">
        <v>1775</v>
      </c>
      <c r="E1203" s="291">
        <v>2547</v>
      </c>
      <c r="F1203" s="291">
        <v>454</v>
      </c>
      <c r="G1203" s="291">
        <v>906</v>
      </c>
      <c r="H1203" s="287">
        <v>0.17824892029839001</v>
      </c>
      <c r="I1203" s="211">
        <v>3.3123620309050801</v>
      </c>
      <c r="J1203" s="211">
        <v>-0.44622067217144501</v>
      </c>
      <c r="K1203" s="288">
        <v>-1136.5240520206701</v>
      </c>
    </row>
    <row r="1204" spans="2:11" x14ac:dyDescent="0.2">
      <c r="B1204">
        <v>18</v>
      </c>
      <c r="C1204">
        <v>3732</v>
      </c>
      <c r="D1204" s="308" t="s">
        <v>1776</v>
      </c>
      <c r="E1204" s="291">
        <v>2722</v>
      </c>
      <c r="F1204" s="291">
        <v>1723</v>
      </c>
      <c r="G1204" s="291">
        <v>3332</v>
      </c>
      <c r="H1204" s="287">
        <v>0.63299044819985295</v>
      </c>
      <c r="I1204" s="211">
        <v>1.3340336134453801</v>
      </c>
      <c r="J1204" s="211">
        <v>5.17856666657859E-2</v>
      </c>
      <c r="K1204" s="288">
        <v>140.96058466426899</v>
      </c>
    </row>
    <row r="1205" spans="2:11" x14ac:dyDescent="0.2">
      <c r="B1205">
        <v>18</v>
      </c>
      <c r="C1205">
        <v>3733</v>
      </c>
      <c r="D1205" s="308" t="s">
        <v>1777</v>
      </c>
      <c r="E1205" s="291">
        <v>1201</v>
      </c>
      <c r="F1205" s="291">
        <v>221</v>
      </c>
      <c r="G1205" s="291">
        <v>2798</v>
      </c>
      <c r="H1205" s="287">
        <v>0.18401332223147401</v>
      </c>
      <c r="I1205" s="211">
        <v>0.50822015725518199</v>
      </c>
      <c r="J1205" s="211">
        <v>-0.59281726744176899</v>
      </c>
      <c r="K1205" s="288">
        <v>-711.97353819756404</v>
      </c>
    </row>
    <row r="1206" spans="2:11" x14ac:dyDescent="0.2">
      <c r="B1206">
        <v>18</v>
      </c>
      <c r="C1206">
        <v>3734</v>
      </c>
      <c r="D1206" s="308" t="s">
        <v>1778</v>
      </c>
      <c r="E1206" s="291">
        <v>1340</v>
      </c>
      <c r="F1206" s="291">
        <v>317</v>
      </c>
      <c r="G1206" s="291">
        <v>2800</v>
      </c>
      <c r="H1206" s="287">
        <v>0.23656716417910401</v>
      </c>
      <c r="I1206" s="211">
        <v>0.59178571428571403</v>
      </c>
      <c r="J1206" s="211">
        <v>-0.51933440791534702</v>
      </c>
      <c r="K1206" s="288">
        <v>-695.90810660656496</v>
      </c>
    </row>
    <row r="1207" spans="2:11" x14ac:dyDescent="0.2">
      <c r="B1207">
        <v>18</v>
      </c>
      <c r="C1207">
        <v>3746</v>
      </c>
      <c r="D1207" s="308" t="s">
        <v>1779</v>
      </c>
      <c r="E1207" s="291">
        <v>1540</v>
      </c>
      <c r="F1207" s="291">
        <v>822</v>
      </c>
      <c r="G1207" s="291">
        <v>13869</v>
      </c>
      <c r="H1207" s="287">
        <v>0.533766233766234</v>
      </c>
      <c r="I1207" s="211">
        <v>0.170307880885428</v>
      </c>
      <c r="J1207" s="211">
        <v>-0.1587917867867</v>
      </c>
      <c r="K1207" s="288">
        <v>-244.53935165151699</v>
      </c>
    </row>
    <row r="1208" spans="2:11" x14ac:dyDescent="0.2">
      <c r="B1208">
        <v>18</v>
      </c>
      <c r="C1208">
        <v>3752</v>
      </c>
      <c r="D1208" s="308" t="s">
        <v>1780</v>
      </c>
      <c r="E1208" s="291">
        <v>758</v>
      </c>
      <c r="F1208" s="291">
        <v>1230</v>
      </c>
      <c r="G1208" s="291">
        <v>3200</v>
      </c>
      <c r="H1208" s="287">
        <v>1.62269129287599</v>
      </c>
      <c r="I1208" s="211">
        <v>0.62124999999999997</v>
      </c>
      <c r="J1208" s="211">
        <v>1.1771380176605</v>
      </c>
      <c r="K1208" s="288">
        <v>892.27061738666202</v>
      </c>
    </row>
    <row r="1209" spans="2:11" x14ac:dyDescent="0.2">
      <c r="B1209">
        <v>18</v>
      </c>
      <c r="C1209">
        <v>3762</v>
      </c>
      <c r="D1209" s="308" t="s">
        <v>1781</v>
      </c>
      <c r="E1209" s="291">
        <v>4638</v>
      </c>
      <c r="F1209" s="291">
        <v>3333</v>
      </c>
      <c r="G1209" s="291">
        <v>23214</v>
      </c>
      <c r="H1209" s="287">
        <v>0.71862871927555005</v>
      </c>
      <c r="I1209" s="211">
        <v>0.34337037994313802</v>
      </c>
      <c r="J1209" s="211">
        <v>0.194970334923079</v>
      </c>
      <c r="K1209" s="288">
        <v>904.27241337324301</v>
      </c>
    </row>
    <row r="1210" spans="2:11" x14ac:dyDescent="0.2">
      <c r="B1210">
        <v>18</v>
      </c>
      <c r="C1210">
        <v>3764</v>
      </c>
      <c r="D1210" s="308" t="s">
        <v>1782</v>
      </c>
      <c r="E1210" s="291">
        <v>876</v>
      </c>
      <c r="F1210" s="291">
        <v>398</v>
      </c>
      <c r="G1210" s="291">
        <v>9743</v>
      </c>
      <c r="H1210" s="287">
        <v>0.454337899543379</v>
      </c>
      <c r="I1210" s="211">
        <v>0.13076054603304901</v>
      </c>
      <c r="J1210" s="211">
        <v>-0.28403051131571599</v>
      </c>
      <c r="K1210" s="288">
        <v>-248.81072791256801</v>
      </c>
    </row>
    <row r="1211" spans="2:11" x14ac:dyDescent="0.2">
      <c r="B1211">
        <v>18</v>
      </c>
      <c r="C1211">
        <v>3781</v>
      </c>
      <c r="D1211" s="308" t="s">
        <v>1783</v>
      </c>
      <c r="E1211" s="291">
        <v>616</v>
      </c>
      <c r="F1211" s="291">
        <v>298</v>
      </c>
      <c r="G1211" s="291">
        <v>1444</v>
      </c>
      <c r="H1211" s="287">
        <v>0.48376623376623401</v>
      </c>
      <c r="I1211" s="211">
        <v>0.63296398891966799</v>
      </c>
      <c r="J1211" s="211">
        <v>-0.23917544136831101</v>
      </c>
      <c r="K1211" s="288">
        <v>-147.33207188287901</v>
      </c>
    </row>
    <row r="1212" spans="2:11" x14ac:dyDescent="0.2">
      <c r="B1212">
        <v>18</v>
      </c>
      <c r="C1212">
        <v>3782</v>
      </c>
      <c r="D1212" s="308" t="s">
        <v>1784</v>
      </c>
      <c r="E1212" s="291">
        <v>1499</v>
      </c>
      <c r="F1212" s="291">
        <v>962</v>
      </c>
      <c r="G1212" s="291">
        <v>1632</v>
      </c>
      <c r="H1212" s="287">
        <v>0.64176117411607703</v>
      </c>
      <c r="I1212" s="211">
        <v>1.5079656862745101</v>
      </c>
      <c r="J1212" s="211">
        <v>2.2269801818070901E-2</v>
      </c>
      <c r="K1212" s="288">
        <v>33.382432925288299</v>
      </c>
    </row>
    <row r="1213" spans="2:11" x14ac:dyDescent="0.2">
      <c r="B1213">
        <v>18</v>
      </c>
      <c r="C1213">
        <v>3783</v>
      </c>
      <c r="D1213" s="308" t="s">
        <v>1785</v>
      </c>
      <c r="E1213" s="291">
        <v>216</v>
      </c>
      <c r="F1213" s="291">
        <v>68</v>
      </c>
      <c r="G1213" s="291">
        <v>782</v>
      </c>
      <c r="H1213" s="287">
        <v>0.31481481481481499</v>
      </c>
      <c r="I1213" s="211">
        <v>0.36317135549872098</v>
      </c>
      <c r="J1213" s="211">
        <v>-0.47366120984168703</v>
      </c>
      <c r="K1213" s="288">
        <v>-102.310821325804</v>
      </c>
    </row>
    <row r="1214" spans="2:11" x14ac:dyDescent="0.2">
      <c r="B1214">
        <v>18</v>
      </c>
      <c r="C1214">
        <v>3784</v>
      </c>
      <c r="D1214" s="308" t="s">
        <v>1786</v>
      </c>
      <c r="E1214" s="291">
        <v>2197</v>
      </c>
      <c r="F1214" s="291">
        <v>1874</v>
      </c>
      <c r="G1214" s="291">
        <v>3191</v>
      </c>
      <c r="H1214" s="287">
        <v>0.85298133818843902</v>
      </c>
      <c r="I1214" s="211">
        <v>1.2757756189282401</v>
      </c>
      <c r="J1214" s="211">
        <v>0.30220496431687599</v>
      </c>
      <c r="K1214" s="288">
        <v>663.94430660417595</v>
      </c>
    </row>
    <row r="1215" spans="2:11" x14ac:dyDescent="0.2">
      <c r="B1215">
        <v>18</v>
      </c>
      <c r="C1215">
        <v>3785</v>
      </c>
      <c r="D1215" s="308" t="s">
        <v>1787</v>
      </c>
      <c r="E1215" s="291">
        <v>745</v>
      </c>
      <c r="F1215" s="291">
        <v>243</v>
      </c>
      <c r="G1215" s="291">
        <v>3091</v>
      </c>
      <c r="H1215" s="287">
        <v>0.32617449664429499</v>
      </c>
      <c r="I1215" s="211">
        <v>0.31963765771594999</v>
      </c>
      <c r="J1215" s="211">
        <v>-0.44096022587227801</v>
      </c>
      <c r="K1215" s="288">
        <v>-328.51536827484699</v>
      </c>
    </row>
    <row r="1216" spans="2:11" x14ac:dyDescent="0.2">
      <c r="B1216">
        <v>18</v>
      </c>
      <c r="C1216">
        <v>3786</v>
      </c>
      <c r="D1216" s="308" t="s">
        <v>1788</v>
      </c>
      <c r="E1216" s="291">
        <v>2980</v>
      </c>
      <c r="F1216" s="291">
        <v>2949</v>
      </c>
      <c r="G1216" s="291">
        <v>3090</v>
      </c>
      <c r="H1216" s="287">
        <v>0.98959731543624196</v>
      </c>
      <c r="I1216" s="211">
        <v>1.91877022653722</v>
      </c>
      <c r="J1216" s="211">
        <v>0.52487238983360895</v>
      </c>
      <c r="K1216" s="288">
        <v>1564.1197217041499</v>
      </c>
    </row>
    <row r="1217" spans="2:11" x14ac:dyDescent="0.2">
      <c r="B1217">
        <v>18</v>
      </c>
      <c r="C1217">
        <v>3787</v>
      </c>
      <c r="D1217" s="308" t="s">
        <v>1789</v>
      </c>
      <c r="E1217" s="291">
        <v>5084</v>
      </c>
      <c r="F1217" s="291">
        <v>7145</v>
      </c>
      <c r="G1217" s="291">
        <v>1585</v>
      </c>
      <c r="H1217" s="287">
        <v>1.40538945712038</v>
      </c>
      <c r="I1217" s="211">
        <v>7.7154574132492098</v>
      </c>
      <c r="J1217" s="211">
        <v>1.3319931461522101</v>
      </c>
      <c r="K1217" s="288">
        <v>6771.8531550378202</v>
      </c>
    </row>
    <row r="1218" spans="2:11" x14ac:dyDescent="0.2">
      <c r="B1218">
        <v>18</v>
      </c>
      <c r="C1218">
        <v>3788</v>
      </c>
      <c r="D1218" s="308" t="s">
        <v>1790</v>
      </c>
      <c r="E1218" s="291">
        <v>694</v>
      </c>
      <c r="F1218" s="291">
        <v>279</v>
      </c>
      <c r="G1218" s="291">
        <v>6005</v>
      </c>
      <c r="H1218" s="287">
        <v>0.40201729106628198</v>
      </c>
      <c r="I1218" s="211">
        <v>0.16203164029975001</v>
      </c>
      <c r="J1218" s="211">
        <v>-0.35467752477589398</v>
      </c>
      <c r="K1218" s="288">
        <v>-246.14620219446999</v>
      </c>
    </row>
    <row r="1219" spans="2:11" x14ac:dyDescent="0.2">
      <c r="B1219">
        <v>18</v>
      </c>
      <c r="C1219">
        <v>3789</v>
      </c>
      <c r="D1219" s="308" t="s">
        <v>1791</v>
      </c>
      <c r="E1219" s="291">
        <v>714</v>
      </c>
      <c r="F1219" s="291">
        <v>892</v>
      </c>
      <c r="G1219" s="291">
        <v>2433</v>
      </c>
      <c r="H1219" s="287">
        <v>1.2492997198879601</v>
      </c>
      <c r="I1219" s="211">
        <v>0.66009042334566403</v>
      </c>
      <c r="J1219" s="211">
        <v>0.71418045100532901</v>
      </c>
      <c r="K1219" s="288">
        <v>509.92484201780502</v>
      </c>
    </row>
    <row r="1220" spans="2:11" x14ac:dyDescent="0.2">
      <c r="B1220">
        <v>18</v>
      </c>
      <c r="C1220">
        <v>3790</v>
      </c>
      <c r="D1220" s="308" t="s">
        <v>1792</v>
      </c>
      <c r="E1220" s="291">
        <v>1054</v>
      </c>
      <c r="F1220" s="291">
        <v>876</v>
      </c>
      <c r="G1220" s="291">
        <v>1549</v>
      </c>
      <c r="H1220" s="287">
        <v>0.83111954459202997</v>
      </c>
      <c r="I1220" s="211">
        <v>1.2459651387992301</v>
      </c>
      <c r="J1220" s="211">
        <v>0.23035354835805599</v>
      </c>
      <c r="K1220" s="288">
        <v>242.79263996939201</v>
      </c>
    </row>
    <row r="1221" spans="2:11" x14ac:dyDescent="0.2">
      <c r="B1221">
        <v>18</v>
      </c>
      <c r="C1221">
        <v>3791</v>
      </c>
      <c r="D1221" s="308" t="s">
        <v>1793</v>
      </c>
      <c r="E1221" s="291">
        <v>1214</v>
      </c>
      <c r="F1221" s="291">
        <v>781</v>
      </c>
      <c r="G1221" s="291">
        <v>3805</v>
      </c>
      <c r="H1221" s="287">
        <v>0.64332784184514002</v>
      </c>
      <c r="I1221" s="211">
        <v>0.52431011826544005</v>
      </c>
      <c r="J1221" s="211">
        <v>-2.2567413003492898E-2</v>
      </c>
      <c r="K1221" s="288">
        <v>-27.396839386240401</v>
      </c>
    </row>
    <row r="1222" spans="2:11" x14ac:dyDescent="0.2">
      <c r="B1222">
        <v>18</v>
      </c>
      <c r="C1222">
        <v>3792</v>
      </c>
      <c r="D1222" s="308" t="s">
        <v>1794</v>
      </c>
      <c r="E1222" s="291">
        <v>1537</v>
      </c>
      <c r="F1222" s="291">
        <v>890</v>
      </c>
      <c r="G1222" s="291">
        <v>9198</v>
      </c>
      <c r="H1222" s="287">
        <v>0.57905009759271298</v>
      </c>
      <c r="I1222" s="211">
        <v>0.26386170906718898</v>
      </c>
      <c r="J1222" s="211">
        <v>-9.9378944066152594E-2</v>
      </c>
      <c r="K1222" s="288">
        <v>-152.74543702967699</v>
      </c>
    </row>
    <row r="1223" spans="2:11" x14ac:dyDescent="0.2">
      <c r="B1223">
        <v>18</v>
      </c>
      <c r="C1223">
        <v>3804</v>
      </c>
      <c r="D1223" s="308" t="s">
        <v>1795</v>
      </c>
      <c r="E1223" s="291">
        <v>92</v>
      </c>
      <c r="F1223" s="291">
        <v>21</v>
      </c>
      <c r="G1223" s="291">
        <v>1019</v>
      </c>
      <c r="H1223" s="287">
        <v>0.22826086956521699</v>
      </c>
      <c r="I1223" s="211">
        <v>0.110893032384691</v>
      </c>
      <c r="J1223" s="211">
        <v>-0.59485815616164595</v>
      </c>
      <c r="K1223" s="288">
        <v>-54.726950366871499</v>
      </c>
    </row>
    <row r="1224" spans="2:11" x14ac:dyDescent="0.2">
      <c r="B1224">
        <v>18</v>
      </c>
      <c r="C1224">
        <v>3805</v>
      </c>
      <c r="D1224" s="308" t="s">
        <v>1796</v>
      </c>
      <c r="E1224" s="291">
        <v>273</v>
      </c>
      <c r="F1224" s="291">
        <v>82</v>
      </c>
      <c r="G1224" s="291">
        <v>354</v>
      </c>
      <c r="H1224" s="287">
        <v>0.30036630036630002</v>
      </c>
      <c r="I1224" s="211">
        <v>1.0028248587570601</v>
      </c>
      <c r="J1224" s="211">
        <v>-0.46604946235401501</v>
      </c>
      <c r="K1224" s="288">
        <v>-127.231503222646</v>
      </c>
    </row>
    <row r="1225" spans="2:11" x14ac:dyDescent="0.2">
      <c r="B1225">
        <v>18</v>
      </c>
      <c r="C1225">
        <v>3808</v>
      </c>
      <c r="D1225" s="308" t="s">
        <v>1797</v>
      </c>
      <c r="E1225" s="291">
        <v>148</v>
      </c>
      <c r="F1225" s="291">
        <v>28</v>
      </c>
      <c r="G1225" s="291">
        <v>3169</v>
      </c>
      <c r="H1225" s="287">
        <v>0.18918918918918901</v>
      </c>
      <c r="I1225" s="211">
        <v>5.5538024613442698E-2</v>
      </c>
      <c r="J1225" s="211">
        <v>-0.64315429020783899</v>
      </c>
      <c r="K1225" s="288">
        <v>-95.186834950760201</v>
      </c>
    </row>
    <row r="1226" spans="2:11" x14ac:dyDescent="0.2">
      <c r="B1226">
        <v>18</v>
      </c>
      <c r="C1226">
        <v>3810</v>
      </c>
      <c r="D1226" s="308" t="s">
        <v>1798</v>
      </c>
      <c r="E1226" s="291">
        <v>110</v>
      </c>
      <c r="F1226" s="291">
        <v>22</v>
      </c>
      <c r="G1226" s="291">
        <v>746</v>
      </c>
      <c r="H1226" s="287">
        <v>0.2</v>
      </c>
      <c r="I1226" s="211">
        <v>0.17694369973190299</v>
      </c>
      <c r="J1226" s="211">
        <v>-0.626780369993716</v>
      </c>
      <c r="K1226" s="288">
        <v>-68.945840699308704</v>
      </c>
    </row>
    <row r="1227" spans="2:11" x14ac:dyDescent="0.2">
      <c r="B1227">
        <v>18</v>
      </c>
      <c r="C1227">
        <v>3821</v>
      </c>
      <c r="D1227" s="308" t="s">
        <v>1799</v>
      </c>
      <c r="E1227" s="291">
        <v>785</v>
      </c>
      <c r="F1227" s="291">
        <v>202</v>
      </c>
      <c r="G1227" s="291">
        <v>3524</v>
      </c>
      <c r="H1227" s="287">
        <v>0.25732484076433099</v>
      </c>
      <c r="I1227" s="211">
        <v>0.28007945516458599</v>
      </c>
      <c r="J1227" s="211">
        <v>-0.52619116143665601</v>
      </c>
      <c r="K1227" s="288">
        <v>-413.06006172777501</v>
      </c>
    </row>
    <row r="1228" spans="2:11" x14ac:dyDescent="0.2">
      <c r="B1228">
        <v>18</v>
      </c>
      <c r="C1228">
        <v>3822</v>
      </c>
      <c r="D1228" s="308" t="s">
        <v>1800</v>
      </c>
      <c r="E1228" s="291">
        <v>1354</v>
      </c>
      <c r="F1228" s="291">
        <v>564</v>
      </c>
      <c r="G1228" s="291">
        <v>6879</v>
      </c>
      <c r="H1228" s="287">
        <v>0.41654357459379598</v>
      </c>
      <c r="I1228" s="211">
        <v>0.27881959587149302</v>
      </c>
      <c r="J1228" s="211">
        <v>-0.30719779270477399</v>
      </c>
      <c r="K1228" s="288">
        <v>-415.94581132226398</v>
      </c>
    </row>
    <row r="1229" spans="2:11" x14ac:dyDescent="0.2">
      <c r="B1229">
        <v>18</v>
      </c>
      <c r="C1229">
        <v>3823</v>
      </c>
      <c r="D1229" s="308" t="s">
        <v>1801</v>
      </c>
      <c r="E1229" s="291">
        <v>353</v>
      </c>
      <c r="F1229" s="291">
        <v>143</v>
      </c>
      <c r="G1229" s="291">
        <v>3020</v>
      </c>
      <c r="H1229" s="287">
        <v>0.40509915014164299</v>
      </c>
      <c r="I1229" s="211">
        <v>0.16423841059602601</v>
      </c>
      <c r="J1229" s="211">
        <v>-0.36380751013183499</v>
      </c>
      <c r="K1229" s="288">
        <v>-128.42405107653801</v>
      </c>
    </row>
    <row r="1230" spans="2:11" x14ac:dyDescent="0.2">
      <c r="B1230">
        <v>18</v>
      </c>
      <c r="C1230">
        <v>3831</v>
      </c>
      <c r="D1230" s="308" t="s">
        <v>1802</v>
      </c>
      <c r="E1230" s="291">
        <v>572</v>
      </c>
      <c r="F1230" s="291">
        <v>235</v>
      </c>
      <c r="G1230" s="291">
        <v>1029</v>
      </c>
      <c r="H1230" s="287">
        <v>0.410839160839161</v>
      </c>
      <c r="I1230" s="211">
        <v>0.78425655976676401</v>
      </c>
      <c r="J1230" s="211">
        <v>-0.325705331911119</v>
      </c>
      <c r="K1230" s="288">
        <v>-186.30344985316</v>
      </c>
    </row>
    <row r="1231" spans="2:11" x14ac:dyDescent="0.2">
      <c r="B1231">
        <v>18</v>
      </c>
      <c r="C1231">
        <v>3832</v>
      </c>
      <c r="D1231" s="308" t="s">
        <v>1803</v>
      </c>
      <c r="E1231" s="291">
        <v>1340</v>
      </c>
      <c r="F1231" s="291">
        <v>899</v>
      </c>
      <c r="G1231" s="291">
        <v>2697</v>
      </c>
      <c r="H1231" s="287">
        <v>0.67089552238806005</v>
      </c>
      <c r="I1231" s="211">
        <v>0.83018168335187204</v>
      </c>
      <c r="J1231" s="211">
        <v>2.7567648137803501E-2</v>
      </c>
      <c r="K1231" s="288">
        <v>36.9406485046567</v>
      </c>
    </row>
    <row r="1232" spans="2:11" x14ac:dyDescent="0.2">
      <c r="B1232">
        <v>18</v>
      </c>
      <c r="C1232">
        <v>3834</v>
      </c>
      <c r="D1232" s="308" t="s">
        <v>1804</v>
      </c>
      <c r="E1232" s="291">
        <v>2484</v>
      </c>
      <c r="F1232" s="291">
        <v>994</v>
      </c>
      <c r="G1232" s="291">
        <v>3377</v>
      </c>
      <c r="H1232" s="287">
        <v>0.40016103059581298</v>
      </c>
      <c r="I1232" s="211">
        <v>1.02990820254664</v>
      </c>
      <c r="J1232" s="211">
        <v>-0.25691813199355801</v>
      </c>
      <c r="K1232" s="288">
        <v>-638.18463987199698</v>
      </c>
    </row>
    <row r="1233" spans="2:11" x14ac:dyDescent="0.2">
      <c r="B1233">
        <v>18</v>
      </c>
      <c r="C1233">
        <v>3835</v>
      </c>
      <c r="D1233" s="308" t="s">
        <v>1805</v>
      </c>
      <c r="E1233" s="291">
        <v>788</v>
      </c>
      <c r="F1233" s="291">
        <v>463</v>
      </c>
      <c r="G1233" s="291">
        <v>1916</v>
      </c>
      <c r="H1233" s="287">
        <v>0.58756345177665004</v>
      </c>
      <c r="I1233" s="211">
        <v>0.65292275574112701</v>
      </c>
      <c r="J1233" s="211">
        <v>-0.10325342160244599</v>
      </c>
      <c r="K1233" s="288">
        <v>-81.363696222727398</v>
      </c>
    </row>
    <row r="1234" spans="2:11" x14ac:dyDescent="0.2">
      <c r="B1234">
        <v>18</v>
      </c>
      <c r="C1234">
        <v>3837</v>
      </c>
      <c r="D1234" s="308" t="s">
        <v>1806</v>
      </c>
      <c r="E1234" s="291">
        <v>192</v>
      </c>
      <c r="F1234" s="291">
        <v>115</v>
      </c>
      <c r="G1234" s="291">
        <v>2627</v>
      </c>
      <c r="H1234" s="287">
        <v>0.59895833333333304</v>
      </c>
      <c r="I1234" s="211">
        <v>0.116863342215455</v>
      </c>
      <c r="J1234" s="211">
        <v>-0.131464374012186</v>
      </c>
      <c r="K1234" s="288">
        <v>-25.241159810339699</v>
      </c>
    </row>
    <row r="1235" spans="2:11" x14ac:dyDescent="0.2">
      <c r="B1235">
        <v>18</v>
      </c>
      <c r="C1235">
        <v>3847</v>
      </c>
      <c r="D1235" s="308" t="s">
        <v>1807</v>
      </c>
      <c r="E1235" s="291">
        <v>1538</v>
      </c>
      <c r="F1235" s="291">
        <v>1137</v>
      </c>
      <c r="G1235" s="291">
        <v>10804</v>
      </c>
      <c r="H1235" s="287">
        <v>0.73927178153446005</v>
      </c>
      <c r="I1235" s="211">
        <v>0.247593483894854</v>
      </c>
      <c r="J1235" s="211">
        <v>9.8606682514202904E-2</v>
      </c>
      <c r="K1235" s="288">
        <v>151.65707770684401</v>
      </c>
    </row>
    <row r="1236" spans="2:11" x14ac:dyDescent="0.2">
      <c r="B1236">
        <v>18</v>
      </c>
      <c r="C1236">
        <v>3851</v>
      </c>
      <c r="D1236" s="308" t="s">
        <v>1808</v>
      </c>
      <c r="E1236" s="291">
        <v>11060</v>
      </c>
      <c r="F1236" s="291">
        <v>8756</v>
      </c>
      <c r="G1236" s="291">
        <v>16884</v>
      </c>
      <c r="H1236" s="287">
        <v>0.79168173598553304</v>
      </c>
      <c r="I1236" s="211">
        <v>1.1736555318644899</v>
      </c>
      <c r="J1236" s="211">
        <v>0.56116935085159103</v>
      </c>
      <c r="K1236" s="288">
        <v>6206.5330204185902</v>
      </c>
    </row>
    <row r="1237" spans="2:11" x14ac:dyDescent="0.2">
      <c r="B1237">
        <v>18</v>
      </c>
      <c r="C1237">
        <v>3861</v>
      </c>
      <c r="D1237" s="308" t="s">
        <v>1809</v>
      </c>
      <c r="E1237" s="291">
        <v>622</v>
      </c>
      <c r="F1237" s="291">
        <v>219</v>
      </c>
      <c r="G1237" s="291">
        <v>2294</v>
      </c>
      <c r="H1237" s="287">
        <v>0.35209003215434098</v>
      </c>
      <c r="I1237" s="211">
        <v>0.366608544027899</v>
      </c>
      <c r="J1237" s="211">
        <v>-0.41183264572503597</v>
      </c>
      <c r="K1237" s="288">
        <v>-256.15990564097302</v>
      </c>
    </row>
    <row r="1238" spans="2:11" x14ac:dyDescent="0.2">
      <c r="B1238">
        <v>18</v>
      </c>
      <c r="C1238">
        <v>3862</v>
      </c>
      <c r="D1238" s="308" t="s">
        <v>1810</v>
      </c>
      <c r="E1238" s="291">
        <v>215</v>
      </c>
      <c r="F1238" s="291">
        <v>68</v>
      </c>
      <c r="G1238" s="291">
        <v>3016</v>
      </c>
      <c r="H1238" s="287">
        <v>0.31627906976744202</v>
      </c>
      <c r="I1238" s="211">
        <v>9.3832891246684397E-2</v>
      </c>
      <c r="J1238" s="211">
        <v>-0.48171183600061601</v>
      </c>
      <c r="K1238" s="288">
        <v>-103.568044740132</v>
      </c>
    </row>
    <row r="1239" spans="2:11" x14ac:dyDescent="0.2">
      <c r="B1239">
        <v>18</v>
      </c>
      <c r="C1239">
        <v>3863</v>
      </c>
      <c r="D1239" s="308" t="s">
        <v>1811</v>
      </c>
      <c r="E1239" s="291">
        <v>1168</v>
      </c>
      <c r="F1239" s="291">
        <v>389</v>
      </c>
      <c r="G1239" s="291">
        <v>2283</v>
      </c>
      <c r="H1239" s="287">
        <v>0.33304794520547898</v>
      </c>
      <c r="I1239" s="211">
        <v>0.68199737187910603</v>
      </c>
      <c r="J1239" s="211">
        <v>-0.403059520984484</v>
      </c>
      <c r="K1239" s="288">
        <v>-470.77352050987702</v>
      </c>
    </row>
    <row r="1240" spans="2:11" x14ac:dyDescent="0.2">
      <c r="B1240">
        <v>18</v>
      </c>
      <c r="C1240">
        <v>3871</v>
      </c>
      <c r="D1240" s="308" t="s">
        <v>1812</v>
      </c>
      <c r="E1240" s="291">
        <v>4476</v>
      </c>
      <c r="F1240" s="291">
        <v>2355</v>
      </c>
      <c r="G1240" s="291">
        <v>10077</v>
      </c>
      <c r="H1240" s="287">
        <v>0.52613941018766797</v>
      </c>
      <c r="I1240" s="211">
        <v>0.67788032152426303</v>
      </c>
      <c r="J1240" s="211">
        <v>-3.7540786416781498E-2</v>
      </c>
      <c r="K1240" s="288">
        <v>-168.03256000151401</v>
      </c>
    </row>
    <row r="1241" spans="2:11" x14ac:dyDescent="0.2">
      <c r="B1241">
        <v>18</v>
      </c>
      <c r="C1241">
        <v>3881</v>
      </c>
      <c r="D1241" s="308" t="s">
        <v>1813</v>
      </c>
      <c r="E1241" s="291">
        <v>221</v>
      </c>
      <c r="F1241" s="291">
        <v>81</v>
      </c>
      <c r="G1241" s="291">
        <v>1694</v>
      </c>
      <c r="H1241" s="287">
        <v>0.36651583710407198</v>
      </c>
      <c r="I1241" s="211">
        <v>0.17827626918535999</v>
      </c>
      <c r="J1241" s="211">
        <v>-0.41615004423100899</v>
      </c>
      <c r="K1241" s="288">
        <v>-91.9691597750531</v>
      </c>
    </row>
    <row r="1242" spans="2:11" x14ac:dyDescent="0.2">
      <c r="B1242">
        <v>18</v>
      </c>
      <c r="C1242">
        <v>3882</v>
      </c>
      <c r="D1242" s="308" t="s">
        <v>1814</v>
      </c>
      <c r="E1242" s="291">
        <v>860</v>
      </c>
      <c r="F1242" s="291">
        <v>477</v>
      </c>
      <c r="G1242" s="291">
        <v>749</v>
      </c>
      <c r="H1242" s="287">
        <v>0.55465116279069804</v>
      </c>
      <c r="I1242" s="211">
        <v>1.78504672897196</v>
      </c>
      <c r="J1242" s="211">
        <v>-9.9980293756708999E-2</v>
      </c>
      <c r="K1242" s="288">
        <v>-85.983052630769706</v>
      </c>
    </row>
    <row r="1243" spans="2:11" x14ac:dyDescent="0.2">
      <c r="B1243">
        <v>18</v>
      </c>
      <c r="C1243">
        <v>3891</v>
      </c>
      <c r="D1243" s="308" t="s">
        <v>1815</v>
      </c>
      <c r="E1243" s="291">
        <v>1550</v>
      </c>
      <c r="F1243" s="291">
        <v>457</v>
      </c>
      <c r="G1243" s="291">
        <v>6197</v>
      </c>
      <c r="H1243" s="287">
        <v>0.29483870967741899</v>
      </c>
      <c r="I1243" s="211">
        <v>0.32386638696143299</v>
      </c>
      <c r="J1243" s="211">
        <v>-0.44887750066292698</v>
      </c>
      <c r="K1243" s="288">
        <v>-695.76012602753701</v>
      </c>
    </row>
    <row r="1244" spans="2:11" x14ac:dyDescent="0.2">
      <c r="B1244">
        <v>18</v>
      </c>
      <c r="C1244">
        <v>3901</v>
      </c>
      <c r="D1244" s="308" t="s">
        <v>1816</v>
      </c>
      <c r="E1244" s="291">
        <v>34880</v>
      </c>
      <c r="F1244" s="291">
        <v>32118</v>
      </c>
      <c r="G1244" s="291">
        <v>2693</v>
      </c>
      <c r="H1244" s="287">
        <v>0.92081422018348602</v>
      </c>
      <c r="I1244" s="211">
        <v>24.8785740809506</v>
      </c>
      <c r="J1244" s="211">
        <v>2.4962140587405699</v>
      </c>
      <c r="K1244" s="288">
        <v>87067.946368870995</v>
      </c>
    </row>
    <row r="1245" spans="2:11" x14ac:dyDescent="0.2">
      <c r="B1245">
        <v>18</v>
      </c>
      <c r="C1245">
        <v>3911</v>
      </c>
      <c r="D1245" s="308" t="s">
        <v>1817</v>
      </c>
      <c r="E1245" s="291">
        <v>1998</v>
      </c>
      <c r="F1245" s="291">
        <v>880</v>
      </c>
      <c r="G1245" s="291">
        <v>4233</v>
      </c>
      <c r="H1245" s="287">
        <v>0.44044044044044001</v>
      </c>
      <c r="I1245" s="211">
        <v>0.67989605480746496</v>
      </c>
      <c r="J1245" s="211">
        <v>-0.238345398315499</v>
      </c>
      <c r="K1245" s="288">
        <v>-476.21410583436801</v>
      </c>
    </row>
    <row r="1246" spans="2:11" x14ac:dyDescent="0.2">
      <c r="B1246">
        <v>18</v>
      </c>
      <c r="C1246">
        <v>3921</v>
      </c>
      <c r="D1246" s="308" t="s">
        <v>1818</v>
      </c>
      <c r="E1246" s="291">
        <v>3219</v>
      </c>
      <c r="F1246" s="291">
        <v>2905</v>
      </c>
      <c r="G1246" s="291">
        <v>11873</v>
      </c>
      <c r="H1246" s="287">
        <v>0.90245417831624697</v>
      </c>
      <c r="I1246" s="211">
        <v>0.51579213341194297</v>
      </c>
      <c r="J1246" s="211">
        <v>0.37483185914221001</v>
      </c>
      <c r="K1246" s="288">
        <v>1206.5837545787699</v>
      </c>
    </row>
    <row r="1247" spans="2:11" x14ac:dyDescent="0.2">
      <c r="B1247">
        <v>18</v>
      </c>
      <c r="C1247">
        <v>3926</v>
      </c>
      <c r="D1247" s="308" t="s">
        <v>1819</v>
      </c>
      <c r="E1247" s="291">
        <v>523</v>
      </c>
      <c r="F1247" s="291">
        <v>89</v>
      </c>
      <c r="G1247" s="291">
        <v>731</v>
      </c>
      <c r="H1247" s="287">
        <v>0.170172084130019</v>
      </c>
      <c r="I1247" s="211">
        <v>0.837209302325581</v>
      </c>
      <c r="J1247" s="211">
        <v>-0.62387161758003296</v>
      </c>
      <c r="K1247" s="288">
        <v>-326.28485599435697</v>
      </c>
    </row>
    <row r="1248" spans="2:11" x14ac:dyDescent="0.2">
      <c r="B1248">
        <v>18</v>
      </c>
      <c r="C1248">
        <v>3932</v>
      </c>
      <c r="D1248" s="308" t="s">
        <v>1820</v>
      </c>
      <c r="E1248" s="291">
        <v>327</v>
      </c>
      <c r="F1248" s="291">
        <v>124</v>
      </c>
      <c r="G1248" s="291">
        <v>2262</v>
      </c>
      <c r="H1248" s="287">
        <v>0.37920489296636101</v>
      </c>
      <c r="I1248" s="211">
        <v>0.19938107869142399</v>
      </c>
      <c r="J1248" s="211">
        <v>-0.395606004065293</v>
      </c>
      <c r="K1248" s="288">
        <v>-129.36316332935101</v>
      </c>
    </row>
    <row r="1249" spans="2:11" x14ac:dyDescent="0.2">
      <c r="B1249">
        <v>18</v>
      </c>
      <c r="C1249">
        <v>3941</v>
      </c>
      <c r="D1249" s="308" t="s">
        <v>1821</v>
      </c>
      <c r="E1249" s="291">
        <v>1030</v>
      </c>
      <c r="F1249" s="291">
        <v>328</v>
      </c>
      <c r="G1249" s="291">
        <v>1547</v>
      </c>
      <c r="H1249" s="287">
        <v>0.31844660194174801</v>
      </c>
      <c r="I1249" s="211">
        <v>0.87782805429864297</v>
      </c>
      <c r="J1249" s="211">
        <v>-0.419280966391538</v>
      </c>
      <c r="K1249" s="288">
        <v>-431.85939538328398</v>
      </c>
    </row>
    <row r="1250" spans="2:11" x14ac:dyDescent="0.2">
      <c r="B1250">
        <v>18</v>
      </c>
      <c r="C1250">
        <v>3945</v>
      </c>
      <c r="D1250" s="308" t="s">
        <v>1822</v>
      </c>
      <c r="E1250" s="291">
        <v>3301</v>
      </c>
      <c r="F1250" s="291">
        <v>1167</v>
      </c>
      <c r="G1250" s="291">
        <v>3504</v>
      </c>
      <c r="H1250" s="287">
        <v>0.35352923356558602</v>
      </c>
      <c r="I1250" s="211">
        <v>1.27511415525114</v>
      </c>
      <c r="J1250" s="211">
        <v>-0.27453905718014698</v>
      </c>
      <c r="K1250" s="288">
        <v>-906.25342775166405</v>
      </c>
    </row>
    <row r="1251" spans="2:11" x14ac:dyDescent="0.2">
      <c r="B1251">
        <v>18</v>
      </c>
      <c r="C1251">
        <v>3946</v>
      </c>
      <c r="D1251" s="308" t="s">
        <v>1823</v>
      </c>
      <c r="E1251" s="291">
        <v>2491</v>
      </c>
      <c r="F1251" s="291">
        <v>673</v>
      </c>
      <c r="G1251" s="291">
        <v>2511</v>
      </c>
      <c r="H1251" s="287">
        <v>0.27017262143717402</v>
      </c>
      <c r="I1251" s="211">
        <v>1.26005575467941</v>
      </c>
      <c r="J1251" s="211">
        <v>-0.40933066163040299</v>
      </c>
      <c r="K1251" s="288">
        <v>-1019.6426781213301</v>
      </c>
    </row>
    <row r="1252" spans="2:11" x14ac:dyDescent="0.2">
      <c r="B1252">
        <v>18</v>
      </c>
      <c r="C1252">
        <v>3947</v>
      </c>
      <c r="D1252" s="308" t="s">
        <v>1824</v>
      </c>
      <c r="E1252" s="291">
        <v>3431</v>
      </c>
      <c r="F1252" s="291">
        <v>1078</v>
      </c>
      <c r="G1252" s="291">
        <v>1005</v>
      </c>
      <c r="H1252" s="287">
        <v>0.31419411250364299</v>
      </c>
      <c r="I1252" s="211">
        <v>4.4865671641790996</v>
      </c>
      <c r="J1252" s="211">
        <v>-0.201143978382125</v>
      </c>
      <c r="K1252" s="288">
        <v>-690.12498982907096</v>
      </c>
    </row>
    <row r="1253" spans="2:11" x14ac:dyDescent="0.2">
      <c r="B1253">
        <v>18</v>
      </c>
      <c r="C1253">
        <v>3951</v>
      </c>
      <c r="D1253" s="308" t="s">
        <v>1825</v>
      </c>
      <c r="E1253" s="291">
        <v>691</v>
      </c>
      <c r="F1253" s="291">
        <v>178</v>
      </c>
      <c r="G1253" s="291">
        <v>1594</v>
      </c>
      <c r="H1253" s="287">
        <v>0.25759768451519499</v>
      </c>
      <c r="I1253" s="211">
        <v>0.54516938519447899</v>
      </c>
      <c r="J1253" s="211">
        <v>-0.51977289308334196</v>
      </c>
      <c r="K1253" s="288">
        <v>-359.163069120589</v>
      </c>
    </row>
    <row r="1254" spans="2:11" x14ac:dyDescent="0.2">
      <c r="B1254">
        <v>18</v>
      </c>
      <c r="C1254">
        <v>3952</v>
      </c>
      <c r="D1254" s="308" t="s">
        <v>1826</v>
      </c>
      <c r="E1254" s="291">
        <v>902</v>
      </c>
      <c r="F1254" s="291">
        <v>286</v>
      </c>
      <c r="G1254" s="291">
        <v>925</v>
      </c>
      <c r="H1254" s="287">
        <v>0.31707317073170699</v>
      </c>
      <c r="I1254" s="211">
        <v>1.2843243243243201</v>
      </c>
      <c r="J1254" s="211">
        <v>-0.41104258568837698</v>
      </c>
      <c r="K1254" s="288">
        <v>-370.76041229091601</v>
      </c>
    </row>
    <row r="1255" spans="2:11" x14ac:dyDescent="0.2">
      <c r="B1255">
        <v>18</v>
      </c>
      <c r="C1255">
        <v>3953</v>
      </c>
      <c r="D1255" s="308" t="s">
        <v>1827</v>
      </c>
      <c r="E1255" s="291">
        <v>2835</v>
      </c>
      <c r="F1255" s="291">
        <v>1740</v>
      </c>
      <c r="G1255" s="291">
        <v>2616</v>
      </c>
      <c r="H1255" s="287">
        <v>0.61375661375661394</v>
      </c>
      <c r="I1255" s="211">
        <v>1.7488532110091699</v>
      </c>
      <c r="J1255" s="211">
        <v>4.74042364523347E-2</v>
      </c>
      <c r="K1255" s="288">
        <v>134.39101034236899</v>
      </c>
    </row>
    <row r="1256" spans="2:11" x14ac:dyDescent="0.2">
      <c r="B1256">
        <v>18</v>
      </c>
      <c r="C1256">
        <v>3954</v>
      </c>
      <c r="D1256" s="308" t="s">
        <v>1828</v>
      </c>
      <c r="E1256" s="291">
        <v>2310</v>
      </c>
      <c r="F1256" s="291">
        <v>901</v>
      </c>
      <c r="G1256" s="291">
        <v>1037</v>
      </c>
      <c r="H1256" s="287">
        <v>0.39004329004329003</v>
      </c>
      <c r="I1256" s="211">
        <v>3.0964320154291198</v>
      </c>
      <c r="J1256" s="211">
        <v>-0.20070657725569499</v>
      </c>
      <c r="K1256" s="288">
        <v>-463.632193460655</v>
      </c>
    </row>
    <row r="1257" spans="2:11" x14ac:dyDescent="0.2">
      <c r="B1257">
        <v>18</v>
      </c>
      <c r="C1257">
        <v>3955</v>
      </c>
      <c r="D1257" s="308" t="s">
        <v>1829</v>
      </c>
      <c r="E1257" s="291">
        <v>8854</v>
      </c>
      <c r="F1257" s="291">
        <v>5883</v>
      </c>
      <c r="G1257" s="291">
        <v>1802</v>
      </c>
      <c r="H1257" s="287">
        <v>0.66444544838491104</v>
      </c>
      <c r="I1257" s="211">
        <v>8.17813540510544</v>
      </c>
      <c r="J1257" s="211">
        <v>0.57477249525581897</v>
      </c>
      <c r="K1257" s="288">
        <v>5089.0356729950199</v>
      </c>
    </row>
    <row r="1258" spans="2:11" x14ac:dyDescent="0.2">
      <c r="B1258">
        <v>18</v>
      </c>
      <c r="C1258">
        <v>3961</v>
      </c>
      <c r="D1258" s="308" t="s">
        <v>1830</v>
      </c>
      <c r="E1258" s="291">
        <v>2049</v>
      </c>
      <c r="F1258" s="291">
        <v>1168</v>
      </c>
      <c r="G1258" s="291">
        <v>3942</v>
      </c>
      <c r="H1258" s="287">
        <v>0.57003416300634502</v>
      </c>
      <c r="I1258" s="211">
        <v>0.81608320649416499</v>
      </c>
      <c r="J1258" s="211">
        <v>-7.0840004361200096E-2</v>
      </c>
      <c r="K1258" s="288">
        <v>-145.151168936099</v>
      </c>
    </row>
    <row r="1259" spans="2:11" x14ac:dyDescent="0.2">
      <c r="B1259">
        <v>18</v>
      </c>
      <c r="C1259">
        <v>3962</v>
      </c>
      <c r="D1259" s="308" t="s">
        <v>1831</v>
      </c>
      <c r="E1259" s="291">
        <v>2627</v>
      </c>
      <c r="F1259" s="291">
        <v>1538</v>
      </c>
      <c r="G1259" s="291">
        <v>5178</v>
      </c>
      <c r="H1259" s="287">
        <v>0.58545869813475404</v>
      </c>
      <c r="I1259" s="211">
        <v>0.804364619544226</v>
      </c>
      <c r="J1259" s="211">
        <v>-3.0068955084285899E-2</v>
      </c>
      <c r="K1259" s="288">
        <v>-78.991145006419003</v>
      </c>
    </row>
    <row r="1260" spans="2:11" x14ac:dyDescent="0.2">
      <c r="B1260">
        <v>18</v>
      </c>
      <c r="C1260">
        <v>3972</v>
      </c>
      <c r="D1260" s="308" t="s">
        <v>1832</v>
      </c>
      <c r="E1260" s="291">
        <v>1397</v>
      </c>
      <c r="F1260" s="291">
        <v>547</v>
      </c>
      <c r="G1260" s="291">
        <v>3865</v>
      </c>
      <c r="H1260" s="287">
        <v>0.39155332856120301</v>
      </c>
      <c r="I1260" s="211">
        <v>0.502975420439845</v>
      </c>
      <c r="J1260" s="211">
        <v>-0.32834343138865302</v>
      </c>
      <c r="K1260" s="288">
        <v>-458.69577364994802</v>
      </c>
    </row>
    <row r="1261" spans="2:11" x14ac:dyDescent="0.2">
      <c r="B1261">
        <v>18</v>
      </c>
      <c r="C1261">
        <v>3981</v>
      </c>
      <c r="D1261" s="308" t="s">
        <v>1833</v>
      </c>
      <c r="E1261" s="291">
        <v>1263</v>
      </c>
      <c r="F1261" s="291">
        <v>545</v>
      </c>
      <c r="G1261" s="291">
        <v>3171</v>
      </c>
      <c r="H1261" s="287">
        <v>0.43151227236737899</v>
      </c>
      <c r="I1261" s="211">
        <v>0.57016713970356403</v>
      </c>
      <c r="J1261" s="211">
        <v>-0.28149630609147602</v>
      </c>
      <c r="K1261" s="288">
        <v>-355.52983459353499</v>
      </c>
    </row>
    <row r="1262" spans="2:11" x14ac:dyDescent="0.2">
      <c r="B1262">
        <v>18</v>
      </c>
      <c r="C1262">
        <v>3982</v>
      </c>
      <c r="D1262" s="308" t="s">
        <v>1834</v>
      </c>
      <c r="E1262" s="291">
        <v>2098</v>
      </c>
      <c r="F1262" s="291">
        <v>1186</v>
      </c>
      <c r="G1262" s="291">
        <v>4262</v>
      </c>
      <c r="H1262" s="287">
        <v>0.56530028598665405</v>
      </c>
      <c r="I1262" s="211">
        <v>0.77053026748005604</v>
      </c>
      <c r="J1262" s="211">
        <v>-7.6495799336966597E-2</v>
      </c>
      <c r="K1262" s="288">
        <v>-160.488187008956</v>
      </c>
    </row>
    <row r="1263" spans="2:11" x14ac:dyDescent="0.2">
      <c r="B1263">
        <v>18</v>
      </c>
      <c r="C1263">
        <v>3983</v>
      </c>
      <c r="D1263" s="308" t="s">
        <v>1835</v>
      </c>
      <c r="E1263" s="291">
        <v>385</v>
      </c>
      <c r="F1263" s="291">
        <v>162</v>
      </c>
      <c r="G1263" s="291">
        <v>4830</v>
      </c>
      <c r="H1263" s="287">
        <v>0.42077922077922097</v>
      </c>
      <c r="I1263" s="211">
        <v>0.11325051759834399</v>
      </c>
      <c r="J1263" s="211">
        <v>-0.34501492941999001</v>
      </c>
      <c r="K1263" s="288">
        <v>-132.83074782669601</v>
      </c>
    </row>
    <row r="1264" spans="2:11" x14ac:dyDescent="0.2">
      <c r="B1264">
        <v>18</v>
      </c>
      <c r="C1264">
        <v>3985</v>
      </c>
      <c r="D1264" s="308" t="s">
        <v>1836</v>
      </c>
      <c r="E1264" s="291">
        <v>1216</v>
      </c>
      <c r="F1264" s="291">
        <v>473</v>
      </c>
      <c r="G1264" s="291">
        <v>5415</v>
      </c>
      <c r="H1264" s="287">
        <v>0.38898026315789502</v>
      </c>
      <c r="I1264" s="211">
        <v>0.31191135734072001</v>
      </c>
      <c r="J1264" s="211">
        <v>-0.34541880717235601</v>
      </c>
      <c r="K1264" s="288">
        <v>-420.02926952158498</v>
      </c>
    </row>
    <row r="1265" spans="2:11" x14ac:dyDescent="0.2">
      <c r="B1265">
        <v>18</v>
      </c>
      <c r="C1265">
        <v>3986</v>
      </c>
      <c r="D1265" s="308" t="s">
        <v>1837</v>
      </c>
      <c r="E1265" s="291">
        <v>1285</v>
      </c>
      <c r="F1265" s="291">
        <v>662</v>
      </c>
      <c r="G1265" s="291">
        <v>5227</v>
      </c>
      <c r="H1265" s="287">
        <v>0.51517509727626498</v>
      </c>
      <c r="I1265" s="211">
        <v>0.37248899942605701</v>
      </c>
      <c r="J1265" s="211">
        <v>-0.184196051893049</v>
      </c>
      <c r="K1265" s="288">
        <v>-236.69192668256801</v>
      </c>
    </row>
    <row r="1266" spans="2:11" x14ac:dyDescent="0.2">
      <c r="B1266">
        <v>18</v>
      </c>
      <c r="C1266">
        <v>3987</v>
      </c>
      <c r="D1266" s="308" t="s">
        <v>1838</v>
      </c>
      <c r="E1266" s="291">
        <v>1180</v>
      </c>
      <c r="F1266" s="291">
        <v>579</v>
      </c>
      <c r="G1266" s="291">
        <v>3159</v>
      </c>
      <c r="H1266" s="287">
        <v>0.49067796610169501</v>
      </c>
      <c r="I1266" s="211">
        <v>0.55682177904400099</v>
      </c>
      <c r="J1266" s="211">
        <v>-0.21183859374608199</v>
      </c>
      <c r="K1266" s="288">
        <v>-249.96954062037699</v>
      </c>
    </row>
    <row r="1267" spans="2:11" x14ac:dyDescent="0.2">
      <c r="B1267">
        <v>18</v>
      </c>
      <c r="C1267">
        <v>3988</v>
      </c>
      <c r="D1267" s="308" t="s">
        <v>1839</v>
      </c>
      <c r="E1267" s="291">
        <v>1147</v>
      </c>
      <c r="F1267" s="291">
        <v>612</v>
      </c>
      <c r="G1267" s="291">
        <v>5671</v>
      </c>
      <c r="H1267" s="287">
        <v>0.53356582388840501</v>
      </c>
      <c r="I1267" s="211">
        <v>0.31017457238582302</v>
      </c>
      <c r="J1267" s="211">
        <v>-0.16895338420254999</v>
      </c>
      <c r="K1267" s="288">
        <v>-193.78953168032501</v>
      </c>
    </row>
    <row r="1268" spans="2:11" x14ac:dyDescent="0.2">
      <c r="B1268">
        <v>19</v>
      </c>
      <c r="C1268">
        <v>4001</v>
      </c>
      <c r="D1268" s="308" t="s">
        <v>1840</v>
      </c>
      <c r="E1268" s="291">
        <v>21036</v>
      </c>
      <c r="F1268" s="291">
        <v>33493</v>
      </c>
      <c r="G1268" s="291">
        <v>1148</v>
      </c>
      <c r="H1268" s="287">
        <v>1.5921753185016201</v>
      </c>
      <c r="I1268" s="211">
        <v>47.499128919860603</v>
      </c>
      <c r="J1268" s="211">
        <v>3.6244843348731699</v>
      </c>
      <c r="K1268" s="288">
        <v>76244.652468392</v>
      </c>
    </row>
    <row r="1269" spans="2:11" x14ac:dyDescent="0.2">
      <c r="B1269">
        <v>19</v>
      </c>
      <c r="C1269">
        <v>4002</v>
      </c>
      <c r="D1269" s="308" t="s">
        <v>1841</v>
      </c>
      <c r="E1269" s="291">
        <v>1545</v>
      </c>
      <c r="F1269" s="291">
        <v>331</v>
      </c>
      <c r="G1269" s="291">
        <v>391</v>
      </c>
      <c r="H1269" s="287">
        <v>0.21423948220064701</v>
      </c>
      <c r="I1269" s="211">
        <v>4.7979539641943703</v>
      </c>
      <c r="J1269" s="211">
        <v>-0.385706221199831</v>
      </c>
      <c r="K1269" s="288">
        <v>-595.91611175373896</v>
      </c>
    </row>
    <row r="1270" spans="2:11" x14ac:dyDescent="0.2">
      <c r="B1270">
        <v>19</v>
      </c>
      <c r="C1270">
        <v>4003</v>
      </c>
      <c r="D1270" s="308" t="s">
        <v>1842</v>
      </c>
      <c r="E1270" s="291">
        <v>7911</v>
      </c>
      <c r="F1270" s="291">
        <v>5041</v>
      </c>
      <c r="G1270" s="291">
        <v>530</v>
      </c>
      <c r="H1270" s="287">
        <v>0.63721400581468801</v>
      </c>
      <c r="I1270" s="211">
        <v>24.437735849056601</v>
      </c>
      <c r="J1270" s="211">
        <v>1.09823158446349</v>
      </c>
      <c r="K1270" s="288">
        <v>8688.1100646906707</v>
      </c>
    </row>
    <row r="1271" spans="2:11" x14ac:dyDescent="0.2">
      <c r="B1271">
        <v>19</v>
      </c>
      <c r="C1271">
        <v>4004</v>
      </c>
      <c r="D1271" s="308" t="s">
        <v>1843</v>
      </c>
      <c r="E1271" s="291">
        <v>708</v>
      </c>
      <c r="F1271" s="291">
        <v>299</v>
      </c>
      <c r="G1271" s="291">
        <v>1260</v>
      </c>
      <c r="H1271" s="287">
        <v>0.42231638418079098</v>
      </c>
      <c r="I1271" s="211">
        <v>0.79920634920634903</v>
      </c>
      <c r="J1271" s="211">
        <v>-0.30574123424001798</v>
      </c>
      <c r="K1271" s="288">
        <v>-216.46479384193299</v>
      </c>
    </row>
    <row r="1272" spans="2:11" x14ac:dyDescent="0.2">
      <c r="B1272">
        <v>19</v>
      </c>
      <c r="C1272">
        <v>4005</v>
      </c>
      <c r="D1272" s="308" t="s">
        <v>1844</v>
      </c>
      <c r="E1272" s="291">
        <v>4091</v>
      </c>
      <c r="F1272" s="291">
        <v>966</v>
      </c>
      <c r="G1272" s="291">
        <v>981</v>
      </c>
      <c r="H1272" s="287">
        <v>0.23612808604253199</v>
      </c>
      <c r="I1272" s="211">
        <v>5.1549439347604498</v>
      </c>
      <c r="J1272" s="211">
        <v>-0.248276486639215</v>
      </c>
      <c r="K1272" s="288">
        <v>-1015.69910684103</v>
      </c>
    </row>
    <row r="1273" spans="2:11" x14ac:dyDescent="0.2">
      <c r="B1273">
        <v>19</v>
      </c>
      <c r="C1273">
        <v>4006</v>
      </c>
      <c r="D1273" s="308" t="s">
        <v>1845</v>
      </c>
      <c r="E1273" s="291">
        <v>7624</v>
      </c>
      <c r="F1273" s="291">
        <v>2514</v>
      </c>
      <c r="G1273" s="291">
        <v>1725</v>
      </c>
      <c r="H1273" s="287">
        <v>0.32974816369359899</v>
      </c>
      <c r="I1273" s="211">
        <v>5.8771014492753597</v>
      </c>
      <c r="J1273" s="211">
        <v>2.9076277513338199E-2</v>
      </c>
      <c r="K1273" s="288">
        <v>221.67753976169101</v>
      </c>
    </row>
    <row r="1274" spans="2:11" x14ac:dyDescent="0.2">
      <c r="B1274">
        <v>19</v>
      </c>
      <c r="C1274">
        <v>4007</v>
      </c>
      <c r="D1274" s="308" t="s">
        <v>1846</v>
      </c>
      <c r="E1274" s="291">
        <v>1584</v>
      </c>
      <c r="F1274" s="291">
        <v>776</v>
      </c>
      <c r="G1274" s="291">
        <v>353</v>
      </c>
      <c r="H1274" s="287">
        <v>0.48989898989899</v>
      </c>
      <c r="I1274" s="211">
        <v>6.6855524079320103</v>
      </c>
      <c r="J1274" s="211">
        <v>2.62407424997852E-2</v>
      </c>
      <c r="K1274" s="288">
        <v>41.565336119659698</v>
      </c>
    </row>
    <row r="1275" spans="2:11" x14ac:dyDescent="0.2">
      <c r="B1275">
        <v>19</v>
      </c>
      <c r="C1275">
        <v>4008</v>
      </c>
      <c r="D1275" s="308" t="s">
        <v>1847</v>
      </c>
      <c r="E1275" s="291">
        <v>6081</v>
      </c>
      <c r="F1275" s="291">
        <v>1355</v>
      </c>
      <c r="G1275" s="291">
        <v>1182</v>
      </c>
      <c r="H1275" s="287">
        <v>0.22282519322479899</v>
      </c>
      <c r="I1275" s="211">
        <v>6.2910321489001699</v>
      </c>
      <c r="J1275" s="211">
        <v>-0.14727369943573901</v>
      </c>
      <c r="K1275" s="288">
        <v>-895.57136626872898</v>
      </c>
    </row>
    <row r="1276" spans="2:11" x14ac:dyDescent="0.2">
      <c r="B1276">
        <v>19</v>
      </c>
      <c r="C1276">
        <v>4009</v>
      </c>
      <c r="D1276" s="308" t="s">
        <v>1848</v>
      </c>
      <c r="E1276" s="291">
        <v>3879</v>
      </c>
      <c r="F1276" s="291">
        <v>1401</v>
      </c>
      <c r="G1276" s="291">
        <v>697</v>
      </c>
      <c r="H1276" s="287">
        <v>0.36117556071152401</v>
      </c>
      <c r="I1276" s="211">
        <v>7.5753228120516498</v>
      </c>
      <c r="J1276" s="211">
        <v>-1.31145284817854E-2</v>
      </c>
      <c r="K1276" s="288">
        <v>-50.871255980845604</v>
      </c>
    </row>
    <row r="1277" spans="2:11" x14ac:dyDescent="0.2">
      <c r="B1277">
        <v>19</v>
      </c>
      <c r="C1277">
        <v>4010</v>
      </c>
      <c r="D1277" s="308" t="s">
        <v>1849</v>
      </c>
      <c r="E1277" s="291">
        <v>7743</v>
      </c>
      <c r="F1277" s="291">
        <v>4163</v>
      </c>
      <c r="G1277" s="291">
        <v>712</v>
      </c>
      <c r="H1277" s="287">
        <v>0.53764690688363703</v>
      </c>
      <c r="I1277" s="211">
        <v>16.721910112359598</v>
      </c>
      <c r="J1277" s="211">
        <v>0.68691893474810595</v>
      </c>
      <c r="K1277" s="288">
        <v>5318.8133117545904</v>
      </c>
    </row>
    <row r="1278" spans="2:11" x14ac:dyDescent="0.2">
      <c r="B1278">
        <v>19</v>
      </c>
      <c r="C1278">
        <v>4012</v>
      </c>
      <c r="D1278" s="308" t="s">
        <v>1850</v>
      </c>
      <c r="E1278" s="291">
        <v>9990</v>
      </c>
      <c r="F1278" s="291">
        <v>5241</v>
      </c>
      <c r="G1278" s="291">
        <v>1050</v>
      </c>
      <c r="H1278" s="287">
        <v>0.524624624624625</v>
      </c>
      <c r="I1278" s="211">
        <v>14.5057142857143</v>
      </c>
      <c r="J1278" s="211">
        <v>0.67578050958951497</v>
      </c>
      <c r="K1278" s="288">
        <v>6751.0472907992498</v>
      </c>
    </row>
    <row r="1279" spans="2:11" x14ac:dyDescent="0.2">
      <c r="B1279">
        <v>19</v>
      </c>
      <c r="C1279">
        <v>4013</v>
      </c>
      <c r="D1279" s="308" t="s">
        <v>1851</v>
      </c>
      <c r="E1279" s="291">
        <v>4102</v>
      </c>
      <c r="F1279" s="291">
        <v>1809</v>
      </c>
      <c r="G1279" s="291">
        <v>286</v>
      </c>
      <c r="H1279" s="287">
        <v>0.44100438810336401</v>
      </c>
      <c r="I1279" s="211">
        <v>20.667832167832199</v>
      </c>
      <c r="J1279" s="211">
        <v>0.57201008465148595</v>
      </c>
      <c r="K1279" s="288">
        <v>2346.3853672403902</v>
      </c>
    </row>
    <row r="1280" spans="2:11" x14ac:dyDescent="0.2">
      <c r="B1280">
        <v>19</v>
      </c>
      <c r="C1280">
        <v>4021</v>
      </c>
      <c r="D1280" s="308" t="s">
        <v>1852</v>
      </c>
      <c r="E1280" s="291">
        <v>19222</v>
      </c>
      <c r="F1280" s="291">
        <v>29699</v>
      </c>
      <c r="G1280" s="291">
        <v>1295</v>
      </c>
      <c r="H1280" s="287">
        <v>1.54505254396005</v>
      </c>
      <c r="I1280" s="211">
        <v>37.776833976833998</v>
      </c>
      <c r="J1280" s="211">
        <v>3.1420595857661602</v>
      </c>
      <c r="K1280" s="288">
        <v>60396.6693575971</v>
      </c>
    </row>
    <row r="1281" spans="2:11" x14ac:dyDescent="0.2">
      <c r="B1281">
        <v>19</v>
      </c>
      <c r="C1281">
        <v>4022</v>
      </c>
      <c r="D1281" s="308" t="s">
        <v>1853</v>
      </c>
      <c r="E1281" s="291">
        <v>1549</v>
      </c>
      <c r="F1281" s="291">
        <v>709</v>
      </c>
      <c r="G1281" s="291">
        <v>489</v>
      </c>
      <c r="H1281" s="287">
        <v>0.45771465461588101</v>
      </c>
      <c r="I1281" s="211">
        <v>4.6175869120654403</v>
      </c>
      <c r="J1281" s="211">
        <v>-9.0428407265729593E-2</v>
      </c>
      <c r="K1281" s="288">
        <v>-140.07360285461499</v>
      </c>
    </row>
    <row r="1282" spans="2:11" x14ac:dyDescent="0.2">
      <c r="B1282">
        <v>19</v>
      </c>
      <c r="C1282">
        <v>4023</v>
      </c>
      <c r="D1282" s="308" t="s">
        <v>1854</v>
      </c>
      <c r="E1282" s="291">
        <v>2751</v>
      </c>
      <c r="F1282" s="291">
        <v>1093</v>
      </c>
      <c r="G1282" s="291">
        <v>597</v>
      </c>
      <c r="H1282" s="287">
        <v>0.39731006906579402</v>
      </c>
      <c r="I1282" s="211">
        <v>6.4388609715242904</v>
      </c>
      <c r="J1282" s="211">
        <v>-5.2902265374157702E-2</v>
      </c>
      <c r="K1282" s="288">
        <v>-145.534132044308</v>
      </c>
    </row>
    <row r="1283" spans="2:11" x14ac:dyDescent="0.2">
      <c r="B1283">
        <v>19</v>
      </c>
      <c r="C1283">
        <v>4024</v>
      </c>
      <c r="D1283" s="308" t="s">
        <v>1855</v>
      </c>
      <c r="E1283" s="291">
        <v>2967</v>
      </c>
      <c r="F1283" s="291">
        <v>1104</v>
      </c>
      <c r="G1283" s="291">
        <v>746</v>
      </c>
      <c r="H1283" s="287">
        <v>0.372093023255814</v>
      </c>
      <c r="I1283" s="211">
        <v>5.4571045576407498</v>
      </c>
      <c r="J1283" s="211">
        <v>-0.11171666254378</v>
      </c>
      <c r="K1283" s="288">
        <v>-331.46333776739402</v>
      </c>
    </row>
    <row r="1284" spans="2:11" x14ac:dyDescent="0.2">
      <c r="B1284">
        <v>19</v>
      </c>
      <c r="C1284">
        <v>4026</v>
      </c>
      <c r="D1284" s="308" t="s">
        <v>1856</v>
      </c>
      <c r="E1284" s="291">
        <v>3415</v>
      </c>
      <c r="F1284" s="291">
        <v>764</v>
      </c>
      <c r="G1284" s="291">
        <v>208</v>
      </c>
      <c r="H1284" s="287">
        <v>0.223718887262079</v>
      </c>
      <c r="I1284" s="211">
        <v>20.091346153846199</v>
      </c>
      <c r="J1284" s="211">
        <v>0.255474566288658</v>
      </c>
      <c r="K1284" s="288">
        <v>872.445643875766</v>
      </c>
    </row>
    <row r="1285" spans="2:11" x14ac:dyDescent="0.2">
      <c r="B1285">
        <v>19</v>
      </c>
      <c r="C1285">
        <v>4027</v>
      </c>
      <c r="D1285" s="308" t="s">
        <v>1857</v>
      </c>
      <c r="E1285" s="291">
        <v>5526</v>
      </c>
      <c r="F1285" s="291">
        <v>1263</v>
      </c>
      <c r="G1285" s="291">
        <v>512</v>
      </c>
      <c r="H1285" s="287">
        <v>0.22855591748099899</v>
      </c>
      <c r="I1285" s="211">
        <v>13.259765625</v>
      </c>
      <c r="J1285" s="211">
        <v>9.2877018598627806E-2</v>
      </c>
      <c r="K1285" s="288">
        <v>513.23840477601698</v>
      </c>
    </row>
    <row r="1286" spans="2:11" x14ac:dyDescent="0.2">
      <c r="B1286">
        <v>19</v>
      </c>
      <c r="C1286">
        <v>4028</v>
      </c>
      <c r="D1286" s="308" t="s">
        <v>1858</v>
      </c>
      <c r="E1286" s="291">
        <v>1035</v>
      </c>
      <c r="F1286" s="291">
        <v>126</v>
      </c>
      <c r="G1286" s="291">
        <v>400</v>
      </c>
      <c r="H1286" s="287">
        <v>0.121739130434783</v>
      </c>
      <c r="I1286" s="211">
        <v>2.9024999999999999</v>
      </c>
      <c r="J1286" s="211">
        <v>-0.58897219571257897</v>
      </c>
      <c r="K1286" s="288">
        <v>-609.58622256251897</v>
      </c>
    </row>
    <row r="1287" spans="2:11" x14ac:dyDescent="0.2">
      <c r="B1287">
        <v>19</v>
      </c>
      <c r="C1287">
        <v>4029</v>
      </c>
      <c r="D1287" s="308" t="s">
        <v>1859</v>
      </c>
      <c r="E1287" s="291">
        <v>5157</v>
      </c>
      <c r="F1287" s="291">
        <v>1678</v>
      </c>
      <c r="G1287" s="291">
        <v>535</v>
      </c>
      <c r="H1287" s="287">
        <v>0.32538297459763399</v>
      </c>
      <c r="I1287" s="211">
        <v>12.775700934579399</v>
      </c>
      <c r="J1287" s="211">
        <v>0.181101142992353</v>
      </c>
      <c r="K1287" s="288">
        <v>933.93859441156303</v>
      </c>
    </row>
    <row r="1288" spans="2:11" x14ac:dyDescent="0.2">
      <c r="B1288">
        <v>19</v>
      </c>
      <c r="C1288">
        <v>4030</v>
      </c>
      <c r="D1288" s="308" t="s">
        <v>1860</v>
      </c>
      <c r="E1288" s="291">
        <v>1981</v>
      </c>
      <c r="F1288" s="291">
        <v>703</v>
      </c>
      <c r="G1288" s="291">
        <v>237</v>
      </c>
      <c r="H1288" s="287">
        <v>0.35487127713276101</v>
      </c>
      <c r="I1288" s="211">
        <v>11.3248945147679</v>
      </c>
      <c r="J1288" s="211">
        <v>4.33557463446093E-2</v>
      </c>
      <c r="K1288" s="288">
        <v>85.887733508670905</v>
      </c>
    </row>
    <row r="1289" spans="2:11" x14ac:dyDescent="0.2">
      <c r="B1289">
        <v>19</v>
      </c>
      <c r="C1289">
        <v>4031</v>
      </c>
      <c r="D1289" s="308" t="s">
        <v>1861</v>
      </c>
      <c r="E1289" s="291">
        <v>1700</v>
      </c>
      <c r="F1289" s="291">
        <v>416</v>
      </c>
      <c r="G1289" s="291">
        <v>473</v>
      </c>
      <c r="H1289" s="287">
        <v>0.244705882352941</v>
      </c>
      <c r="I1289" s="211">
        <v>4.4735729386892196</v>
      </c>
      <c r="J1289" s="211">
        <v>-0.35386599064147101</v>
      </c>
      <c r="K1289" s="288">
        <v>-601.57218409049995</v>
      </c>
    </row>
    <row r="1290" spans="2:11" x14ac:dyDescent="0.2">
      <c r="B1290">
        <v>19</v>
      </c>
      <c r="C1290">
        <v>4032</v>
      </c>
      <c r="D1290" s="308" t="s">
        <v>1862</v>
      </c>
      <c r="E1290" s="291">
        <v>2114</v>
      </c>
      <c r="F1290" s="291">
        <v>2626</v>
      </c>
      <c r="G1290" s="291">
        <v>349</v>
      </c>
      <c r="H1290" s="287">
        <v>1.2421948912015099</v>
      </c>
      <c r="I1290" s="211">
        <v>13.5816618911175</v>
      </c>
      <c r="J1290" s="211">
        <v>1.2303158359974</v>
      </c>
      <c r="K1290" s="288">
        <v>2600.8876772985</v>
      </c>
    </row>
    <row r="1291" spans="2:11" x14ac:dyDescent="0.2">
      <c r="B1291">
        <v>19</v>
      </c>
      <c r="C1291">
        <v>4033</v>
      </c>
      <c r="D1291" s="308" t="s">
        <v>1863</v>
      </c>
      <c r="E1291" s="291">
        <v>5369</v>
      </c>
      <c r="F1291" s="291">
        <v>1716</v>
      </c>
      <c r="G1291" s="291">
        <v>455</v>
      </c>
      <c r="H1291" s="287">
        <v>0.31961259079903098</v>
      </c>
      <c r="I1291" s="211">
        <v>15.5714285714286</v>
      </c>
      <c r="J1291" s="211">
        <v>0.28405379218552801</v>
      </c>
      <c r="K1291" s="288">
        <v>1525.0848102441</v>
      </c>
    </row>
    <row r="1292" spans="2:11" x14ac:dyDescent="0.2">
      <c r="B1292">
        <v>19</v>
      </c>
      <c r="C1292">
        <v>4034</v>
      </c>
      <c r="D1292" s="308" t="s">
        <v>1864</v>
      </c>
      <c r="E1292" s="291">
        <v>8750</v>
      </c>
      <c r="F1292" s="291">
        <v>2463</v>
      </c>
      <c r="G1292" s="291">
        <v>511</v>
      </c>
      <c r="H1292" s="287">
        <v>0.28148571428571401</v>
      </c>
      <c r="I1292" s="211">
        <v>21.943248532289601</v>
      </c>
      <c r="J1292" s="211">
        <v>0.59847170400446403</v>
      </c>
      <c r="K1292" s="288">
        <v>5236.6274100390601</v>
      </c>
    </row>
    <row r="1293" spans="2:11" x14ac:dyDescent="0.2">
      <c r="B1293">
        <v>19</v>
      </c>
      <c r="C1293">
        <v>4035</v>
      </c>
      <c r="D1293" s="308" t="s">
        <v>1865</v>
      </c>
      <c r="E1293" s="291">
        <v>3747</v>
      </c>
      <c r="F1293" s="291">
        <v>768</v>
      </c>
      <c r="G1293" s="291">
        <v>328</v>
      </c>
      <c r="H1293" s="287">
        <v>0.20496397117694201</v>
      </c>
      <c r="I1293" s="211">
        <v>13.765243902439</v>
      </c>
      <c r="J1293" s="211">
        <v>1.41105565838021E-2</v>
      </c>
      <c r="K1293" s="288">
        <v>52.872255519506503</v>
      </c>
    </row>
    <row r="1294" spans="2:11" x14ac:dyDescent="0.2">
      <c r="B1294">
        <v>19</v>
      </c>
      <c r="C1294">
        <v>4037</v>
      </c>
      <c r="D1294" s="308" t="s">
        <v>1866</v>
      </c>
      <c r="E1294" s="291">
        <v>4082</v>
      </c>
      <c r="F1294" s="291">
        <v>881</v>
      </c>
      <c r="G1294" s="291">
        <v>432</v>
      </c>
      <c r="H1294" s="287">
        <v>0.215825575698187</v>
      </c>
      <c r="I1294" s="211">
        <v>11.488425925925901</v>
      </c>
      <c r="J1294" s="211">
        <v>-4.2700129555192097E-2</v>
      </c>
      <c r="K1294" s="288">
        <v>-174.301928844294</v>
      </c>
    </row>
    <row r="1295" spans="2:11" x14ac:dyDescent="0.2">
      <c r="B1295">
        <v>19</v>
      </c>
      <c r="C1295">
        <v>4038</v>
      </c>
      <c r="D1295" s="308" t="s">
        <v>1867</v>
      </c>
      <c r="E1295" s="291">
        <v>8663</v>
      </c>
      <c r="F1295" s="291">
        <v>1940</v>
      </c>
      <c r="G1295" s="291">
        <v>825</v>
      </c>
      <c r="H1295" s="287">
        <v>0.223940898072261</v>
      </c>
      <c r="I1295" s="211">
        <v>12.852121212121199</v>
      </c>
      <c r="J1295" s="211">
        <v>0.19214836808201199</v>
      </c>
      <c r="K1295" s="288">
        <v>1664.5813126944699</v>
      </c>
    </row>
    <row r="1296" spans="2:11" x14ac:dyDescent="0.2">
      <c r="B1296">
        <v>19</v>
      </c>
      <c r="C1296">
        <v>4039</v>
      </c>
      <c r="D1296" s="308" t="s">
        <v>1868</v>
      </c>
      <c r="E1296" s="291">
        <v>2104</v>
      </c>
      <c r="F1296" s="291">
        <v>495</v>
      </c>
      <c r="G1296" s="291">
        <v>385</v>
      </c>
      <c r="H1296" s="287">
        <v>0.23526615969581699</v>
      </c>
      <c r="I1296" s="211">
        <v>6.7506493506493497</v>
      </c>
      <c r="J1296" s="211">
        <v>-0.26704713244109801</v>
      </c>
      <c r="K1296" s="288">
        <v>-561.86716665607003</v>
      </c>
    </row>
    <row r="1297" spans="2:11" x14ac:dyDescent="0.2">
      <c r="B1297">
        <v>19</v>
      </c>
      <c r="C1297">
        <v>4040</v>
      </c>
      <c r="D1297" s="308" t="s">
        <v>1869</v>
      </c>
      <c r="E1297" s="291">
        <v>11531</v>
      </c>
      <c r="F1297" s="291">
        <v>8171</v>
      </c>
      <c r="G1297" s="291">
        <v>848</v>
      </c>
      <c r="H1297" s="287">
        <v>0.70861156881450005</v>
      </c>
      <c r="I1297" s="211">
        <v>23.233490566037698</v>
      </c>
      <c r="J1297" s="211">
        <v>1.2810860291050501</v>
      </c>
      <c r="K1297" s="288">
        <v>14772.2030016103</v>
      </c>
    </row>
    <row r="1298" spans="2:11" x14ac:dyDescent="0.2">
      <c r="B1298">
        <v>19</v>
      </c>
      <c r="C1298">
        <v>4041</v>
      </c>
      <c r="D1298" s="308" t="s">
        <v>1870</v>
      </c>
      <c r="E1298" s="291">
        <v>2203</v>
      </c>
      <c r="F1298" s="291">
        <v>861</v>
      </c>
      <c r="G1298" s="291">
        <v>415</v>
      </c>
      <c r="H1298" s="287">
        <v>0.39083068542895999</v>
      </c>
      <c r="I1298" s="211">
        <v>7.3831325301204798</v>
      </c>
      <c r="J1298" s="211">
        <v>-4.7418133708996897E-2</v>
      </c>
      <c r="K1298" s="288">
        <v>-104.46214856092</v>
      </c>
    </row>
    <row r="1299" spans="2:11" x14ac:dyDescent="0.2">
      <c r="B1299">
        <v>19</v>
      </c>
      <c r="C1299">
        <v>4042</v>
      </c>
      <c r="D1299" s="308" t="s">
        <v>1871</v>
      </c>
      <c r="E1299" s="291">
        <v>3031</v>
      </c>
      <c r="F1299" s="291">
        <v>1015</v>
      </c>
      <c r="G1299" s="291">
        <v>147</v>
      </c>
      <c r="H1299" s="287">
        <v>0.33487297921478099</v>
      </c>
      <c r="I1299" s="211">
        <v>27.523809523809501</v>
      </c>
      <c r="J1299" s="211">
        <v>0.64971524130585101</v>
      </c>
      <c r="K1299" s="288">
        <v>1969.28689639803</v>
      </c>
    </row>
    <row r="1300" spans="2:11" x14ac:dyDescent="0.2">
      <c r="B1300">
        <v>19</v>
      </c>
      <c r="C1300">
        <v>4044</v>
      </c>
      <c r="D1300" s="308" t="s">
        <v>1872</v>
      </c>
      <c r="E1300" s="291">
        <v>7224</v>
      </c>
      <c r="F1300" s="291">
        <v>2844</v>
      </c>
      <c r="G1300" s="291">
        <v>795</v>
      </c>
      <c r="H1300" s="287">
        <v>0.39368770764119598</v>
      </c>
      <c r="I1300" s="211">
        <v>12.6641509433962</v>
      </c>
      <c r="J1300" s="211">
        <v>0.34065096861127903</v>
      </c>
      <c r="K1300" s="288">
        <v>2460.8625972478799</v>
      </c>
    </row>
    <row r="1301" spans="2:11" x14ac:dyDescent="0.2">
      <c r="B1301">
        <v>19</v>
      </c>
      <c r="C1301">
        <v>4045</v>
      </c>
      <c r="D1301" s="308" t="s">
        <v>1873</v>
      </c>
      <c r="E1301" s="291">
        <v>20535</v>
      </c>
      <c r="F1301" s="291">
        <v>8588</v>
      </c>
      <c r="G1301" s="291">
        <v>1041</v>
      </c>
      <c r="H1301" s="287">
        <v>0.41821280740199701</v>
      </c>
      <c r="I1301" s="211">
        <v>27.9759846301633</v>
      </c>
      <c r="J1301" s="211">
        <v>1.43830322391968</v>
      </c>
      <c r="K1301" s="288">
        <v>29535.556703190599</v>
      </c>
    </row>
    <row r="1302" spans="2:11" x14ac:dyDescent="0.2">
      <c r="B1302">
        <v>19</v>
      </c>
      <c r="C1302">
        <v>4046</v>
      </c>
      <c r="D1302" s="308" t="s">
        <v>1874</v>
      </c>
      <c r="E1302" s="291">
        <v>1538</v>
      </c>
      <c r="F1302" s="291">
        <v>320</v>
      </c>
      <c r="G1302" s="291">
        <v>431</v>
      </c>
      <c r="H1302" s="287">
        <v>0.20806241872561801</v>
      </c>
      <c r="I1302" s="211">
        <v>4.3109048723897896</v>
      </c>
      <c r="J1302" s="211">
        <v>-0.411398168777318</v>
      </c>
      <c r="K1302" s="288">
        <v>-632.73038357951498</v>
      </c>
    </row>
    <row r="1303" spans="2:11" x14ac:dyDescent="0.2">
      <c r="B1303">
        <v>19</v>
      </c>
      <c r="C1303">
        <v>4047</v>
      </c>
      <c r="D1303" s="308" t="s">
        <v>1875</v>
      </c>
      <c r="E1303" s="291">
        <v>4618</v>
      </c>
      <c r="F1303" s="291">
        <v>3512</v>
      </c>
      <c r="G1303" s="291">
        <v>915</v>
      </c>
      <c r="H1303" s="287">
        <v>0.76050238198354303</v>
      </c>
      <c r="I1303" s="211">
        <v>8.8852459016393404</v>
      </c>
      <c r="J1303" s="211">
        <v>0.55774656185545302</v>
      </c>
      <c r="K1303" s="288">
        <v>2575.67362264848</v>
      </c>
    </row>
    <row r="1304" spans="2:11" x14ac:dyDescent="0.2">
      <c r="B1304">
        <v>19</v>
      </c>
      <c r="C1304">
        <v>4048</v>
      </c>
      <c r="D1304" s="308" t="s">
        <v>1876</v>
      </c>
      <c r="E1304" s="291">
        <v>6336</v>
      </c>
      <c r="F1304" s="291">
        <v>2051</v>
      </c>
      <c r="G1304" s="291">
        <v>883</v>
      </c>
      <c r="H1304" s="287">
        <v>0.32370580808080801</v>
      </c>
      <c r="I1304" s="211">
        <v>9.49830124575311</v>
      </c>
      <c r="J1304" s="211">
        <v>0.10449522523688</v>
      </c>
      <c r="K1304" s="288">
        <v>662.08174710086996</v>
      </c>
    </row>
    <row r="1305" spans="2:11" x14ac:dyDescent="0.2">
      <c r="B1305">
        <v>19</v>
      </c>
      <c r="C1305">
        <v>4049</v>
      </c>
      <c r="D1305" s="308" t="s">
        <v>1877</v>
      </c>
      <c r="E1305" s="291">
        <v>4775</v>
      </c>
      <c r="F1305" s="291">
        <v>820</v>
      </c>
      <c r="G1305" s="291">
        <v>726</v>
      </c>
      <c r="H1305" s="287">
        <v>0.171727748691099</v>
      </c>
      <c r="I1305" s="211">
        <v>7.7066115702479303</v>
      </c>
      <c r="J1305" s="211">
        <v>-0.208845683386747</v>
      </c>
      <c r="K1305" s="288">
        <v>-997.23813817171697</v>
      </c>
    </row>
    <row r="1306" spans="2:11" x14ac:dyDescent="0.2">
      <c r="B1306">
        <v>19</v>
      </c>
      <c r="C1306">
        <v>4061</v>
      </c>
      <c r="D1306" s="308" t="s">
        <v>1878</v>
      </c>
      <c r="E1306" s="291">
        <v>1868</v>
      </c>
      <c r="F1306" s="291">
        <v>281</v>
      </c>
      <c r="G1306" s="291">
        <v>344</v>
      </c>
      <c r="H1306" s="287">
        <v>0.15042826552462499</v>
      </c>
      <c r="I1306" s="211">
        <v>6.2470930232558102</v>
      </c>
      <c r="J1306" s="211">
        <v>-0.39956499972828802</v>
      </c>
      <c r="K1306" s="288">
        <v>-746.38741949244195</v>
      </c>
    </row>
    <row r="1307" spans="2:11" x14ac:dyDescent="0.2">
      <c r="B1307">
        <v>19</v>
      </c>
      <c r="C1307">
        <v>4062</v>
      </c>
      <c r="D1307" s="308" t="s">
        <v>1879</v>
      </c>
      <c r="E1307" s="291">
        <v>4663</v>
      </c>
      <c r="F1307" s="291">
        <v>1547</v>
      </c>
      <c r="G1307" s="291">
        <v>539</v>
      </c>
      <c r="H1307" s="287">
        <v>0.33176066909714802</v>
      </c>
      <c r="I1307" s="211">
        <v>11.5213358070501</v>
      </c>
      <c r="J1307" s="211">
        <v>0.12436290731602601</v>
      </c>
      <c r="K1307" s="288">
        <v>579.90423681463096</v>
      </c>
    </row>
    <row r="1308" spans="2:11" x14ac:dyDescent="0.2">
      <c r="B1308">
        <v>19</v>
      </c>
      <c r="C1308">
        <v>4063</v>
      </c>
      <c r="D1308" s="308" t="s">
        <v>1880</v>
      </c>
      <c r="E1308" s="291">
        <v>7742</v>
      </c>
      <c r="F1308" s="291">
        <v>4354</v>
      </c>
      <c r="G1308" s="291">
        <v>1058</v>
      </c>
      <c r="H1308" s="287">
        <v>0.56238698010849897</v>
      </c>
      <c r="I1308" s="211">
        <v>11.4328922495274</v>
      </c>
      <c r="J1308" s="211">
        <v>0.52456683905169499</v>
      </c>
      <c r="K1308" s="288">
        <v>4061.1964679382299</v>
      </c>
    </row>
    <row r="1309" spans="2:11" x14ac:dyDescent="0.2">
      <c r="B1309">
        <v>19</v>
      </c>
      <c r="C1309">
        <v>4064</v>
      </c>
      <c r="D1309" s="308" t="s">
        <v>1881</v>
      </c>
      <c r="E1309" s="291">
        <v>1002</v>
      </c>
      <c r="F1309" s="291">
        <v>212</v>
      </c>
      <c r="G1309" s="291">
        <v>281</v>
      </c>
      <c r="H1309" s="287">
        <v>0.21157684630738499</v>
      </c>
      <c r="I1309" s="211">
        <v>4.3202846975089004</v>
      </c>
      <c r="J1309" s="211">
        <v>-0.427181266929134</v>
      </c>
      <c r="K1309" s="288">
        <v>-428.03562946299297</v>
      </c>
    </row>
    <row r="1310" spans="2:11" x14ac:dyDescent="0.2">
      <c r="B1310">
        <v>19</v>
      </c>
      <c r="C1310">
        <v>4065</v>
      </c>
      <c r="D1310" s="308" t="s">
        <v>1882</v>
      </c>
      <c r="E1310" s="291">
        <v>3891</v>
      </c>
      <c r="F1310" s="291">
        <v>1142</v>
      </c>
      <c r="G1310" s="291">
        <v>391</v>
      </c>
      <c r="H1310" s="287">
        <v>0.29349781547160098</v>
      </c>
      <c r="I1310" s="211">
        <v>12.872122762148299</v>
      </c>
      <c r="J1310" s="211">
        <v>9.6734978621603407E-2</v>
      </c>
      <c r="K1310" s="288">
        <v>376.395801816659</v>
      </c>
    </row>
    <row r="1311" spans="2:11" x14ac:dyDescent="0.2">
      <c r="B1311">
        <v>19</v>
      </c>
      <c r="C1311">
        <v>4066</v>
      </c>
      <c r="D1311" s="308" t="s">
        <v>1883</v>
      </c>
      <c r="E1311" s="291">
        <v>976</v>
      </c>
      <c r="F1311" s="291">
        <v>155</v>
      </c>
      <c r="G1311" s="291">
        <v>230</v>
      </c>
      <c r="H1311" s="287">
        <v>0.15881147540983601</v>
      </c>
      <c r="I1311" s="211">
        <v>4.9173913043478299</v>
      </c>
      <c r="J1311" s="211">
        <v>-0.47177411243798201</v>
      </c>
      <c r="K1311" s="288">
        <v>-460.45153373947102</v>
      </c>
    </row>
    <row r="1312" spans="2:11" x14ac:dyDescent="0.2">
      <c r="B1312">
        <v>19</v>
      </c>
      <c r="C1312">
        <v>4067</v>
      </c>
      <c r="D1312" s="308" t="s">
        <v>1884</v>
      </c>
      <c r="E1312" s="291">
        <v>1630</v>
      </c>
      <c r="F1312" s="291">
        <v>417</v>
      </c>
      <c r="G1312" s="291">
        <v>274</v>
      </c>
      <c r="H1312" s="287">
        <v>0.255828220858896</v>
      </c>
      <c r="I1312" s="211">
        <v>7.4708029197080297</v>
      </c>
      <c r="J1312" s="211">
        <v>-0.2334037017667</v>
      </c>
      <c r="K1312" s="288">
        <v>-380.448033879722</v>
      </c>
    </row>
    <row r="1313" spans="2:11" x14ac:dyDescent="0.2">
      <c r="B1313">
        <v>19</v>
      </c>
      <c r="C1313">
        <v>4068</v>
      </c>
      <c r="D1313" s="308" t="s">
        <v>1885</v>
      </c>
      <c r="E1313" s="291">
        <v>2448</v>
      </c>
      <c r="F1313" s="291">
        <v>850</v>
      </c>
      <c r="G1313" s="291">
        <v>776</v>
      </c>
      <c r="H1313" s="287">
        <v>0.34722222222222199</v>
      </c>
      <c r="I1313" s="211">
        <v>4.25</v>
      </c>
      <c r="J1313" s="211">
        <v>-0.206407838777943</v>
      </c>
      <c r="K1313" s="288">
        <v>-505.28638932840499</v>
      </c>
    </row>
    <row r="1314" spans="2:11" x14ac:dyDescent="0.2">
      <c r="B1314">
        <v>19</v>
      </c>
      <c r="C1314">
        <v>4071</v>
      </c>
      <c r="D1314" s="308" t="s">
        <v>1886</v>
      </c>
      <c r="E1314" s="291">
        <v>2037</v>
      </c>
      <c r="F1314" s="291">
        <v>610</v>
      </c>
      <c r="G1314" s="291">
        <v>558</v>
      </c>
      <c r="H1314" s="287">
        <v>0.29945999018163999</v>
      </c>
      <c r="I1314" s="211">
        <v>4.7437275985663101</v>
      </c>
      <c r="J1314" s="211">
        <v>-0.26328342399222698</v>
      </c>
      <c r="K1314" s="288">
        <v>-536.30833467216701</v>
      </c>
    </row>
    <row r="1315" spans="2:11" x14ac:dyDescent="0.2">
      <c r="B1315">
        <v>19</v>
      </c>
      <c r="C1315">
        <v>4072</v>
      </c>
      <c r="D1315" s="308" t="s">
        <v>1887</v>
      </c>
      <c r="E1315" s="291">
        <v>2850</v>
      </c>
      <c r="F1315" s="291">
        <v>1286</v>
      </c>
      <c r="G1315" s="291">
        <v>592</v>
      </c>
      <c r="H1315" s="287">
        <v>0.45122807017543898</v>
      </c>
      <c r="I1315" s="211">
        <v>6.9864864864864904</v>
      </c>
      <c r="J1315" s="211">
        <v>3.7673954936735199E-2</v>
      </c>
      <c r="K1315" s="288">
        <v>107.37077156969499</v>
      </c>
    </row>
    <row r="1316" spans="2:11" x14ac:dyDescent="0.2">
      <c r="B1316">
        <v>19</v>
      </c>
      <c r="C1316">
        <v>4073</v>
      </c>
      <c r="D1316" s="308" t="s">
        <v>1888</v>
      </c>
      <c r="E1316" s="291">
        <v>1978</v>
      </c>
      <c r="F1316" s="291">
        <v>460</v>
      </c>
      <c r="G1316" s="291">
        <v>315</v>
      </c>
      <c r="H1316" s="287">
        <v>0.232558139534884</v>
      </c>
      <c r="I1316" s="211">
        <v>7.7396825396825397</v>
      </c>
      <c r="J1316" s="211">
        <v>-0.23913212899686501</v>
      </c>
      <c r="K1316" s="288">
        <v>-473.00335115579901</v>
      </c>
    </row>
    <row r="1317" spans="2:11" x14ac:dyDescent="0.2">
      <c r="B1317">
        <v>19</v>
      </c>
      <c r="C1317">
        <v>4074</v>
      </c>
      <c r="D1317" s="308" t="s">
        <v>1889</v>
      </c>
      <c r="E1317" s="291">
        <v>2313</v>
      </c>
      <c r="F1317" s="291">
        <v>451</v>
      </c>
      <c r="G1317" s="291">
        <v>534</v>
      </c>
      <c r="H1317" s="287">
        <v>0.194984868136619</v>
      </c>
      <c r="I1317" s="211">
        <v>5.1760299625468198</v>
      </c>
      <c r="J1317" s="211">
        <v>-0.366426795980409</v>
      </c>
      <c r="K1317" s="288">
        <v>-847.54517910268498</v>
      </c>
    </row>
    <row r="1318" spans="2:11" x14ac:dyDescent="0.2">
      <c r="B1318">
        <v>19</v>
      </c>
      <c r="C1318">
        <v>4075</v>
      </c>
      <c r="D1318" s="308" t="s">
        <v>1890</v>
      </c>
      <c r="E1318" s="291">
        <v>4489</v>
      </c>
      <c r="F1318" s="291">
        <v>994</v>
      </c>
      <c r="G1318" s="291">
        <v>486</v>
      </c>
      <c r="H1318" s="287">
        <v>0.221430162619737</v>
      </c>
      <c r="I1318" s="211">
        <v>11.281893004115201</v>
      </c>
      <c r="J1318" s="211">
        <v>-2.7739268161027002E-2</v>
      </c>
      <c r="K1318" s="288">
        <v>-124.52157477485</v>
      </c>
    </row>
    <row r="1319" spans="2:11" x14ac:dyDescent="0.2">
      <c r="B1319">
        <v>19</v>
      </c>
      <c r="C1319">
        <v>4076</v>
      </c>
      <c r="D1319" s="308" t="s">
        <v>1891</v>
      </c>
      <c r="E1319" s="291">
        <v>2851</v>
      </c>
      <c r="F1319" s="291">
        <v>679</v>
      </c>
      <c r="G1319" s="291">
        <v>825</v>
      </c>
      <c r="H1319" s="287">
        <v>0.23816204840406899</v>
      </c>
      <c r="I1319" s="211">
        <v>4.2787878787878801</v>
      </c>
      <c r="J1319" s="211">
        <v>-0.32510254840469899</v>
      </c>
      <c r="K1319" s="288">
        <v>-926.86736550179796</v>
      </c>
    </row>
    <row r="1320" spans="2:11" x14ac:dyDescent="0.2">
      <c r="B1320">
        <v>19</v>
      </c>
      <c r="C1320">
        <v>4077</v>
      </c>
      <c r="D1320" s="308" t="s">
        <v>1892</v>
      </c>
      <c r="E1320" s="291">
        <v>1519</v>
      </c>
      <c r="F1320" s="291">
        <v>208</v>
      </c>
      <c r="G1320" s="291">
        <v>322</v>
      </c>
      <c r="H1320" s="287">
        <v>0.136932192231731</v>
      </c>
      <c r="I1320" s="211">
        <v>5.3633540372670803</v>
      </c>
      <c r="J1320" s="211">
        <v>-0.46186735233597598</v>
      </c>
      <c r="K1320" s="288">
        <v>-701.57650819834703</v>
      </c>
    </row>
    <row r="1321" spans="2:11" x14ac:dyDescent="0.2">
      <c r="B1321">
        <v>19</v>
      </c>
      <c r="C1321">
        <v>4078</v>
      </c>
      <c r="D1321" s="308" t="s">
        <v>1893</v>
      </c>
      <c r="E1321" s="291">
        <v>460</v>
      </c>
      <c r="F1321" s="291">
        <v>81</v>
      </c>
      <c r="G1321" s="291">
        <v>247</v>
      </c>
      <c r="H1321" s="287">
        <v>0.176086956521739</v>
      </c>
      <c r="I1321" s="211">
        <v>2.1902834008097201</v>
      </c>
      <c r="J1321" s="211">
        <v>-0.56958213123963397</v>
      </c>
      <c r="K1321" s="288">
        <v>-262.00778037023201</v>
      </c>
    </row>
    <row r="1322" spans="2:11" x14ac:dyDescent="0.2">
      <c r="B1322">
        <v>19</v>
      </c>
      <c r="C1322">
        <v>4079</v>
      </c>
      <c r="D1322" s="308" t="s">
        <v>1894</v>
      </c>
      <c r="E1322" s="291">
        <v>1355</v>
      </c>
      <c r="F1322" s="291">
        <v>282</v>
      </c>
      <c r="G1322" s="291">
        <v>391</v>
      </c>
      <c r="H1322" s="287">
        <v>0.20811808118081199</v>
      </c>
      <c r="I1322" s="211">
        <v>4.1867007672634298</v>
      </c>
      <c r="J1322" s="211">
        <v>-0.422853138944838</v>
      </c>
      <c r="K1322" s="288">
        <v>-572.96600327025601</v>
      </c>
    </row>
    <row r="1323" spans="2:11" x14ac:dyDescent="0.2">
      <c r="B1323">
        <v>19</v>
      </c>
      <c r="C1323">
        <v>4080</v>
      </c>
      <c r="D1323" s="308" t="s">
        <v>1895</v>
      </c>
      <c r="E1323" s="291">
        <v>7210</v>
      </c>
      <c r="F1323" s="291">
        <v>3687</v>
      </c>
      <c r="G1323" s="291">
        <v>1193</v>
      </c>
      <c r="H1323" s="287">
        <v>0.51137309292649102</v>
      </c>
      <c r="I1323" s="211">
        <v>9.1341156747694896</v>
      </c>
      <c r="J1323" s="211">
        <v>0.35715348788920898</v>
      </c>
      <c r="K1323" s="288">
        <v>2575.07664768119</v>
      </c>
    </row>
    <row r="1324" spans="2:11" x14ac:dyDescent="0.2">
      <c r="B1324">
        <v>19</v>
      </c>
      <c r="C1324">
        <v>4081</v>
      </c>
      <c r="D1324" s="308" t="s">
        <v>1896</v>
      </c>
      <c r="E1324" s="291">
        <v>3651</v>
      </c>
      <c r="F1324" s="291">
        <v>827</v>
      </c>
      <c r="G1324" s="291">
        <v>256</v>
      </c>
      <c r="H1324" s="287">
        <v>0.22651328403177201</v>
      </c>
      <c r="I1324" s="211">
        <v>17.4921875</v>
      </c>
      <c r="J1324" s="211">
        <v>0.17312388252913599</v>
      </c>
      <c r="K1324" s="288">
        <v>632.07529511387702</v>
      </c>
    </row>
    <row r="1325" spans="2:11" x14ac:dyDescent="0.2">
      <c r="B1325">
        <v>19</v>
      </c>
      <c r="C1325">
        <v>4082</v>
      </c>
      <c r="D1325" s="308" t="s">
        <v>1897</v>
      </c>
      <c r="E1325" s="291">
        <v>15824</v>
      </c>
      <c r="F1325" s="291">
        <v>7851</v>
      </c>
      <c r="G1325" s="291">
        <v>1232</v>
      </c>
      <c r="H1325" s="287">
        <v>0.49614509605662299</v>
      </c>
      <c r="I1325" s="211">
        <v>19.2167207792208</v>
      </c>
      <c r="J1325" s="211">
        <v>1.03528577890813</v>
      </c>
      <c r="K1325" s="288">
        <v>16382.3621654422</v>
      </c>
    </row>
    <row r="1326" spans="2:11" x14ac:dyDescent="0.2">
      <c r="B1326">
        <v>19</v>
      </c>
      <c r="C1326">
        <v>4083</v>
      </c>
      <c r="D1326" s="308" t="s">
        <v>1898</v>
      </c>
      <c r="E1326" s="291">
        <v>4404</v>
      </c>
      <c r="F1326" s="291">
        <v>1114</v>
      </c>
      <c r="G1326" s="291">
        <v>467</v>
      </c>
      <c r="H1326" s="287">
        <v>0.25295186194368802</v>
      </c>
      <c r="I1326" s="211">
        <v>11.815845824411101</v>
      </c>
      <c r="J1326" s="211">
        <v>2.7554864458673899E-2</v>
      </c>
      <c r="K1326" s="288">
        <v>121.351623076</v>
      </c>
    </row>
    <row r="1327" spans="2:11" x14ac:dyDescent="0.2">
      <c r="B1327">
        <v>19</v>
      </c>
      <c r="C1327">
        <v>4084</v>
      </c>
      <c r="D1327" s="308" t="s">
        <v>1899</v>
      </c>
      <c r="E1327" s="291">
        <v>632</v>
      </c>
      <c r="F1327" s="291">
        <v>71</v>
      </c>
      <c r="G1327" s="291">
        <v>164</v>
      </c>
      <c r="H1327" s="287">
        <v>0.112341772151899</v>
      </c>
      <c r="I1327" s="211">
        <v>4.2865853658536599</v>
      </c>
      <c r="J1327" s="211">
        <v>-0.56551684386566203</v>
      </c>
      <c r="K1327" s="288">
        <v>-357.40664532309802</v>
      </c>
    </row>
    <row r="1328" spans="2:11" x14ac:dyDescent="0.2">
      <c r="B1328">
        <v>19</v>
      </c>
      <c r="C1328">
        <v>4091</v>
      </c>
      <c r="D1328" s="308" t="s">
        <v>1900</v>
      </c>
      <c r="E1328" s="291">
        <v>1584</v>
      </c>
      <c r="F1328" s="291">
        <v>267</v>
      </c>
      <c r="G1328" s="291">
        <v>542</v>
      </c>
      <c r="H1328" s="287">
        <v>0.16856060606060599</v>
      </c>
      <c r="I1328" s="211">
        <v>3.4151291512915098</v>
      </c>
      <c r="J1328" s="211">
        <v>-0.49127232357144801</v>
      </c>
      <c r="K1328" s="288">
        <v>-778.17536053717299</v>
      </c>
    </row>
    <row r="1329" spans="2:11" x14ac:dyDescent="0.2">
      <c r="B1329">
        <v>19</v>
      </c>
      <c r="C1329">
        <v>4092</v>
      </c>
      <c r="D1329" s="308" t="s">
        <v>1901</v>
      </c>
      <c r="E1329" s="291">
        <v>4522</v>
      </c>
      <c r="F1329" s="291">
        <v>2568</v>
      </c>
      <c r="G1329" s="291">
        <v>505</v>
      </c>
      <c r="H1329" s="287">
        <v>0.56789031402034496</v>
      </c>
      <c r="I1329" s="211">
        <v>14.039603960396001</v>
      </c>
      <c r="J1329" s="211">
        <v>0.50345829102884199</v>
      </c>
      <c r="K1329" s="288">
        <v>2276.6383920324301</v>
      </c>
    </row>
    <row r="1330" spans="2:11" x14ac:dyDescent="0.2">
      <c r="B1330">
        <v>19</v>
      </c>
      <c r="C1330">
        <v>4093</v>
      </c>
      <c r="D1330" s="308" t="s">
        <v>1902</v>
      </c>
      <c r="E1330" s="291">
        <v>695</v>
      </c>
      <c r="F1330" s="291">
        <v>283</v>
      </c>
      <c r="G1330" s="291">
        <v>295</v>
      </c>
      <c r="H1330" s="287">
        <v>0.40719424460431702</v>
      </c>
      <c r="I1330" s="211">
        <v>3.3152542372881402</v>
      </c>
      <c r="J1330" s="211">
        <v>-0.233178248986046</v>
      </c>
      <c r="K1330" s="288">
        <v>-162.058883045302</v>
      </c>
    </row>
    <row r="1331" spans="2:11" x14ac:dyDescent="0.2">
      <c r="B1331">
        <v>19</v>
      </c>
      <c r="C1331">
        <v>4094</v>
      </c>
      <c r="D1331" s="308" t="s">
        <v>1903</v>
      </c>
      <c r="E1331" s="291">
        <v>740</v>
      </c>
      <c r="F1331" s="291">
        <v>174</v>
      </c>
      <c r="G1331" s="291">
        <v>393</v>
      </c>
      <c r="H1331" s="287">
        <v>0.23513513513513501</v>
      </c>
      <c r="I1331" s="211">
        <v>2.32569974554707</v>
      </c>
      <c r="J1331" s="211">
        <v>-0.480772400756031</v>
      </c>
      <c r="K1331" s="288">
        <v>-355.77157655946303</v>
      </c>
    </row>
    <row r="1332" spans="2:11" x14ac:dyDescent="0.2">
      <c r="B1332">
        <v>19</v>
      </c>
      <c r="C1332">
        <v>4095</v>
      </c>
      <c r="D1332" s="308" t="s">
        <v>1904</v>
      </c>
      <c r="E1332" s="291">
        <v>11204</v>
      </c>
      <c r="F1332" s="291">
        <v>8248</v>
      </c>
      <c r="G1332" s="291">
        <v>587</v>
      </c>
      <c r="H1332" s="287">
        <v>0.73616565512317</v>
      </c>
      <c r="I1332" s="211">
        <v>33.137989778534902</v>
      </c>
      <c r="J1332" s="211">
        <v>1.6641032471310799</v>
      </c>
      <c r="K1332" s="288">
        <v>18644.612780856602</v>
      </c>
    </row>
    <row r="1333" spans="2:11" x14ac:dyDescent="0.2">
      <c r="B1333">
        <v>19</v>
      </c>
      <c r="C1333">
        <v>4096</v>
      </c>
      <c r="D1333" s="308" t="s">
        <v>1905</v>
      </c>
      <c r="E1333" s="291">
        <v>603</v>
      </c>
      <c r="F1333" s="291">
        <v>224</v>
      </c>
      <c r="G1333" s="291">
        <v>679</v>
      </c>
      <c r="H1333" s="287">
        <v>0.371475953565506</v>
      </c>
      <c r="I1333" s="211">
        <v>1.2179675994109</v>
      </c>
      <c r="J1333" s="211">
        <v>-0.35747427765037298</v>
      </c>
      <c r="K1333" s="288">
        <v>-215.556989423175</v>
      </c>
    </row>
    <row r="1334" spans="2:11" x14ac:dyDescent="0.2">
      <c r="B1334">
        <v>19</v>
      </c>
      <c r="C1334">
        <v>4097</v>
      </c>
      <c r="D1334" s="308" t="s">
        <v>1906</v>
      </c>
      <c r="E1334" s="291">
        <v>284</v>
      </c>
      <c r="F1334" s="291">
        <v>80</v>
      </c>
      <c r="G1334" s="291">
        <v>419</v>
      </c>
      <c r="H1334" s="287">
        <v>0.28169014084506999</v>
      </c>
      <c r="I1334" s="211">
        <v>0.86873508353221995</v>
      </c>
      <c r="J1334" s="211">
        <v>-0.49366427837146798</v>
      </c>
      <c r="K1334" s="288">
        <v>-140.20065505749699</v>
      </c>
    </row>
    <row r="1335" spans="2:11" x14ac:dyDescent="0.2">
      <c r="B1335">
        <v>19</v>
      </c>
      <c r="C1335">
        <v>4099</v>
      </c>
      <c r="D1335" s="308" t="s">
        <v>1907</v>
      </c>
      <c r="E1335" s="291">
        <v>424</v>
      </c>
      <c r="F1335" s="291">
        <v>96</v>
      </c>
      <c r="G1335" s="291">
        <v>224</v>
      </c>
      <c r="H1335" s="287">
        <v>0.22641509433962301</v>
      </c>
      <c r="I1335" s="211">
        <v>2.3214285714285698</v>
      </c>
      <c r="J1335" s="211">
        <v>-0.503807989710782</v>
      </c>
      <c r="K1335" s="288">
        <v>-213.61458763737099</v>
      </c>
    </row>
    <row r="1336" spans="2:11" x14ac:dyDescent="0.2">
      <c r="B1336">
        <v>19</v>
      </c>
      <c r="C1336">
        <v>4100</v>
      </c>
      <c r="D1336" s="308" t="s">
        <v>1908</v>
      </c>
      <c r="E1336" s="291">
        <v>3491</v>
      </c>
      <c r="F1336" s="291">
        <v>1554</v>
      </c>
      <c r="G1336" s="291">
        <v>317</v>
      </c>
      <c r="H1336" s="287">
        <v>0.44514465769120598</v>
      </c>
      <c r="I1336" s="211">
        <v>15.9148264984227</v>
      </c>
      <c r="J1336" s="211">
        <v>0.38038018887542902</v>
      </c>
      <c r="K1336" s="288">
        <v>1327.90723936412</v>
      </c>
    </row>
    <row r="1337" spans="2:11" x14ac:dyDescent="0.2">
      <c r="B1337">
        <v>19</v>
      </c>
      <c r="C1337">
        <v>4104</v>
      </c>
      <c r="D1337" s="308" t="s">
        <v>1909</v>
      </c>
      <c r="E1337" s="291">
        <v>2373</v>
      </c>
      <c r="F1337" s="291">
        <v>2142</v>
      </c>
      <c r="G1337" s="291">
        <v>509</v>
      </c>
      <c r="H1337" s="287">
        <v>0.90265486725663702</v>
      </c>
      <c r="I1337" s="211">
        <v>8.8703339882121792</v>
      </c>
      <c r="J1337" s="211">
        <v>0.64757250205693595</v>
      </c>
      <c r="K1337" s="288">
        <v>1536.6895473811101</v>
      </c>
    </row>
    <row r="1338" spans="2:11" x14ac:dyDescent="0.2">
      <c r="B1338">
        <v>19</v>
      </c>
      <c r="C1338">
        <v>4105</v>
      </c>
      <c r="D1338" s="308" t="s">
        <v>1910</v>
      </c>
      <c r="E1338" s="291">
        <v>344</v>
      </c>
      <c r="F1338" s="291">
        <v>75</v>
      </c>
      <c r="G1338" s="291">
        <v>556</v>
      </c>
      <c r="H1338" s="287">
        <v>0.21802325581395299</v>
      </c>
      <c r="I1338" s="211">
        <v>0.75359712230215803</v>
      </c>
      <c r="J1338" s="211">
        <v>-0.57446626366437903</v>
      </c>
      <c r="K1338" s="288">
        <v>-197.61639470054601</v>
      </c>
    </row>
    <row r="1339" spans="2:11" x14ac:dyDescent="0.2">
      <c r="B1339">
        <v>19</v>
      </c>
      <c r="C1339">
        <v>4106</v>
      </c>
      <c r="D1339" s="308" t="s">
        <v>1911</v>
      </c>
      <c r="E1339" s="291">
        <v>388</v>
      </c>
      <c r="F1339" s="291">
        <v>97</v>
      </c>
      <c r="G1339" s="291">
        <v>393</v>
      </c>
      <c r="H1339" s="287">
        <v>0.25</v>
      </c>
      <c r="I1339" s="211">
        <v>1.23409669211196</v>
      </c>
      <c r="J1339" s="211">
        <v>-0.51562948697172595</v>
      </c>
      <c r="K1339" s="288">
        <v>-200.06424094503001</v>
      </c>
    </row>
    <row r="1340" spans="2:11" x14ac:dyDescent="0.2">
      <c r="B1340">
        <v>19</v>
      </c>
      <c r="C1340">
        <v>4107</v>
      </c>
      <c r="D1340" s="308" t="s">
        <v>1912</v>
      </c>
      <c r="E1340" s="291">
        <v>1054</v>
      </c>
      <c r="F1340" s="291">
        <v>257</v>
      </c>
      <c r="G1340" s="291">
        <v>310</v>
      </c>
      <c r="H1340" s="287">
        <v>0.243833017077799</v>
      </c>
      <c r="I1340" s="211">
        <v>4.2290322580645201</v>
      </c>
      <c r="J1340" s="211">
        <v>-0.38855304802129897</v>
      </c>
      <c r="K1340" s="288">
        <v>-409.53491261444901</v>
      </c>
    </row>
    <row r="1341" spans="2:11" x14ac:dyDescent="0.2">
      <c r="B1341">
        <v>19</v>
      </c>
      <c r="C1341">
        <v>4110</v>
      </c>
      <c r="D1341" s="308" t="s">
        <v>1913</v>
      </c>
      <c r="E1341" s="291">
        <v>1069</v>
      </c>
      <c r="F1341" s="291">
        <v>276</v>
      </c>
      <c r="G1341" s="291">
        <v>784</v>
      </c>
      <c r="H1341" s="287">
        <v>0.25818521983161802</v>
      </c>
      <c r="I1341" s="211">
        <v>1.7155612244898</v>
      </c>
      <c r="J1341" s="211">
        <v>-0.46189967538039201</v>
      </c>
      <c r="K1341" s="288">
        <v>-493.77075298163902</v>
      </c>
    </row>
    <row r="1342" spans="2:11" x14ac:dyDescent="0.2">
      <c r="B1342">
        <v>19</v>
      </c>
      <c r="C1342">
        <v>4111</v>
      </c>
      <c r="D1342" s="308" t="s">
        <v>1914</v>
      </c>
      <c r="E1342" s="291">
        <v>1486</v>
      </c>
      <c r="F1342" s="291">
        <v>290</v>
      </c>
      <c r="G1342" s="291">
        <v>475</v>
      </c>
      <c r="H1342" s="287">
        <v>0.195154777927322</v>
      </c>
      <c r="I1342" s="211">
        <v>3.7389473684210501</v>
      </c>
      <c r="J1342" s="211">
        <v>-0.45024773337982898</v>
      </c>
      <c r="K1342" s="288">
        <v>-669.06813180242602</v>
      </c>
    </row>
    <row r="1343" spans="2:11" x14ac:dyDescent="0.2">
      <c r="B1343">
        <v>19</v>
      </c>
      <c r="C1343">
        <v>4112</v>
      </c>
      <c r="D1343" s="308" t="s">
        <v>1915</v>
      </c>
      <c r="E1343" s="291">
        <v>869</v>
      </c>
      <c r="F1343" s="291">
        <v>236</v>
      </c>
      <c r="G1343" s="291">
        <v>417</v>
      </c>
      <c r="H1343" s="287">
        <v>0.27157652474108201</v>
      </c>
      <c r="I1343" s="211">
        <v>2.64988009592326</v>
      </c>
      <c r="J1343" s="211">
        <v>-0.41885872929238199</v>
      </c>
      <c r="K1343" s="288">
        <v>-363.98823575507998</v>
      </c>
    </row>
    <row r="1344" spans="2:11" x14ac:dyDescent="0.2">
      <c r="B1344">
        <v>19</v>
      </c>
      <c r="C1344">
        <v>4113</v>
      </c>
      <c r="D1344" s="308" t="s">
        <v>1916</v>
      </c>
      <c r="E1344" s="291">
        <v>652</v>
      </c>
      <c r="F1344" s="291">
        <v>152</v>
      </c>
      <c r="G1344" s="291">
        <v>331</v>
      </c>
      <c r="H1344" s="287">
        <v>0.23312883435582801</v>
      </c>
      <c r="I1344" s="211">
        <v>2.42900302114804</v>
      </c>
      <c r="J1344" s="211">
        <v>-0.48285192894033202</v>
      </c>
      <c r="K1344" s="288">
        <v>-314.81945766909598</v>
      </c>
    </row>
    <row r="1345" spans="2:11" x14ac:dyDescent="0.2">
      <c r="B1345">
        <v>19</v>
      </c>
      <c r="C1345">
        <v>4114</v>
      </c>
      <c r="D1345" s="308" t="s">
        <v>1917</v>
      </c>
      <c r="E1345" s="291">
        <v>1321</v>
      </c>
      <c r="F1345" s="291">
        <v>1410</v>
      </c>
      <c r="G1345" s="291">
        <v>169</v>
      </c>
      <c r="H1345" s="287">
        <v>1.0673732021196101</v>
      </c>
      <c r="I1345" s="211">
        <v>16.159763313609499</v>
      </c>
      <c r="J1345" s="211">
        <v>1.07744551457216</v>
      </c>
      <c r="K1345" s="288">
        <v>1423.3055247498201</v>
      </c>
    </row>
    <row r="1346" spans="2:11" x14ac:dyDescent="0.2">
      <c r="B1346">
        <v>19</v>
      </c>
      <c r="C1346">
        <v>4117</v>
      </c>
      <c r="D1346" s="308" t="s">
        <v>1918</v>
      </c>
      <c r="E1346" s="291">
        <v>824</v>
      </c>
      <c r="F1346" s="291">
        <v>253</v>
      </c>
      <c r="G1346" s="291">
        <v>988</v>
      </c>
      <c r="H1346" s="287">
        <v>0.30703883495145601</v>
      </c>
      <c r="I1346" s="211">
        <v>1.09008097165992</v>
      </c>
      <c r="J1346" s="211">
        <v>-0.43354412190031799</v>
      </c>
      <c r="K1346" s="288">
        <v>-357.24035644586201</v>
      </c>
    </row>
    <row r="1347" spans="2:11" x14ac:dyDescent="0.2">
      <c r="B1347">
        <v>19</v>
      </c>
      <c r="C1347">
        <v>4120</v>
      </c>
      <c r="D1347" s="308" t="s">
        <v>1919</v>
      </c>
      <c r="E1347" s="291">
        <v>1447</v>
      </c>
      <c r="F1347" s="291">
        <v>596</v>
      </c>
      <c r="G1347" s="291">
        <v>498</v>
      </c>
      <c r="H1347" s="287">
        <v>0.41188666205943297</v>
      </c>
      <c r="I1347" s="211">
        <v>4.1024096385542199</v>
      </c>
      <c r="J1347" s="211">
        <v>-0.169910526697898</v>
      </c>
      <c r="K1347" s="288">
        <v>-245.86053213185801</v>
      </c>
    </row>
    <row r="1348" spans="2:11" x14ac:dyDescent="0.2">
      <c r="B1348">
        <v>19</v>
      </c>
      <c r="C1348">
        <v>4121</v>
      </c>
      <c r="D1348" s="308" t="s">
        <v>1920</v>
      </c>
      <c r="E1348" s="291">
        <v>2043</v>
      </c>
      <c r="F1348" s="291">
        <v>1509</v>
      </c>
      <c r="G1348" s="291">
        <v>1091</v>
      </c>
      <c r="H1348" s="287">
        <v>0.73861967694566799</v>
      </c>
      <c r="I1348" s="211">
        <v>3.2557286892758901</v>
      </c>
      <c r="J1348" s="211">
        <v>0.22684682793489699</v>
      </c>
      <c r="K1348" s="288">
        <v>463.44806947099499</v>
      </c>
    </row>
    <row r="1349" spans="2:11" x14ac:dyDescent="0.2">
      <c r="B1349">
        <v>19</v>
      </c>
      <c r="C1349">
        <v>4122</v>
      </c>
      <c r="D1349" s="308" t="s">
        <v>1921</v>
      </c>
      <c r="E1349" s="291">
        <v>1624</v>
      </c>
      <c r="F1349" s="291">
        <v>264</v>
      </c>
      <c r="G1349" s="291">
        <v>523</v>
      </c>
      <c r="H1349" s="287">
        <v>0.16256157635467999</v>
      </c>
      <c r="I1349" s="211">
        <v>3.60994263862333</v>
      </c>
      <c r="J1349" s="211">
        <v>-0.49006991741883799</v>
      </c>
      <c r="K1349" s="288">
        <v>-795.87354588819198</v>
      </c>
    </row>
    <row r="1350" spans="2:11" x14ac:dyDescent="0.2">
      <c r="B1350">
        <v>19</v>
      </c>
      <c r="C1350">
        <v>4123</v>
      </c>
      <c r="D1350" s="308" t="s">
        <v>1922</v>
      </c>
      <c r="E1350" s="291">
        <v>7492</v>
      </c>
      <c r="F1350" s="291">
        <v>4720</v>
      </c>
      <c r="G1350" s="291">
        <v>460</v>
      </c>
      <c r="H1350" s="287">
        <v>0.63000533902829703</v>
      </c>
      <c r="I1350" s="211">
        <v>26.547826086956501</v>
      </c>
      <c r="J1350" s="211">
        <v>1.1502761690148799</v>
      </c>
      <c r="K1350" s="288">
        <v>8617.8690582595009</v>
      </c>
    </row>
    <row r="1351" spans="2:11" x14ac:dyDescent="0.2">
      <c r="B1351">
        <v>19</v>
      </c>
      <c r="C1351">
        <v>4124</v>
      </c>
      <c r="D1351" s="308" t="s">
        <v>1923</v>
      </c>
      <c r="E1351" s="291">
        <v>1563</v>
      </c>
      <c r="F1351" s="291">
        <v>368</v>
      </c>
      <c r="G1351" s="291">
        <v>1554</v>
      </c>
      <c r="H1351" s="287">
        <v>0.23544465770953299</v>
      </c>
      <c r="I1351" s="211">
        <v>1.2425997425997399</v>
      </c>
      <c r="J1351" s="211">
        <v>-0.48845958311550097</v>
      </c>
      <c r="K1351" s="288">
        <v>-763.462328409527</v>
      </c>
    </row>
    <row r="1352" spans="2:11" x14ac:dyDescent="0.2">
      <c r="B1352">
        <v>19</v>
      </c>
      <c r="C1352">
        <v>4125</v>
      </c>
      <c r="D1352" s="308" t="s">
        <v>1924</v>
      </c>
      <c r="E1352" s="291">
        <v>2219</v>
      </c>
      <c r="F1352" s="291">
        <v>1206</v>
      </c>
      <c r="G1352" s="291">
        <v>1190</v>
      </c>
      <c r="H1352" s="287">
        <v>0.54348805768364095</v>
      </c>
      <c r="I1352" s="211">
        <v>2.8781512605041999</v>
      </c>
      <c r="J1352" s="211">
        <v>-2.2004402038248601E-2</v>
      </c>
      <c r="K1352" s="288">
        <v>-48.8277681228736</v>
      </c>
    </row>
    <row r="1353" spans="2:11" x14ac:dyDescent="0.2">
      <c r="B1353">
        <v>19</v>
      </c>
      <c r="C1353">
        <v>4131</v>
      </c>
      <c r="D1353" s="308" t="s">
        <v>1925</v>
      </c>
      <c r="E1353" s="291">
        <v>3117</v>
      </c>
      <c r="F1353" s="291">
        <v>959</v>
      </c>
      <c r="G1353" s="291">
        <v>380</v>
      </c>
      <c r="H1353" s="287">
        <v>0.30766762913057399</v>
      </c>
      <c r="I1353" s="211">
        <v>10.7263157894737</v>
      </c>
      <c r="J1353" s="211">
        <v>6.4293682259023103E-3</v>
      </c>
      <c r="K1353" s="288">
        <v>20.0403407601375</v>
      </c>
    </row>
    <row r="1354" spans="2:11" x14ac:dyDescent="0.2">
      <c r="B1354">
        <v>19</v>
      </c>
      <c r="C1354">
        <v>4132</v>
      </c>
      <c r="D1354" s="308" t="s">
        <v>1926</v>
      </c>
      <c r="E1354" s="291">
        <v>1186</v>
      </c>
      <c r="F1354" s="291">
        <v>274</v>
      </c>
      <c r="G1354" s="291">
        <v>344</v>
      </c>
      <c r="H1354" s="287">
        <v>0.23102866779089401</v>
      </c>
      <c r="I1354" s="211">
        <v>4.2441860465116301</v>
      </c>
      <c r="J1354" s="211">
        <v>-0.39882319956519302</v>
      </c>
      <c r="K1354" s="288">
        <v>-473.00431468431901</v>
      </c>
    </row>
    <row r="1355" spans="2:11" x14ac:dyDescent="0.2">
      <c r="B1355">
        <v>19</v>
      </c>
      <c r="C1355">
        <v>4133</v>
      </c>
      <c r="D1355" s="308" t="s">
        <v>1927</v>
      </c>
      <c r="E1355" s="291">
        <v>1019</v>
      </c>
      <c r="F1355" s="291">
        <v>322</v>
      </c>
      <c r="G1355" s="291">
        <v>92</v>
      </c>
      <c r="H1355" s="287">
        <v>0.315996074582924</v>
      </c>
      <c r="I1355" s="211">
        <v>14.576086956521699</v>
      </c>
      <c r="J1355" s="211">
        <v>7.7045900310324003E-2</v>
      </c>
      <c r="K1355" s="288">
        <v>78.509772416220201</v>
      </c>
    </row>
    <row r="1356" spans="2:11" x14ac:dyDescent="0.2">
      <c r="B1356">
        <v>19</v>
      </c>
      <c r="C1356">
        <v>4134</v>
      </c>
      <c r="D1356" s="308" t="s">
        <v>1928</v>
      </c>
      <c r="E1356" s="291">
        <v>1213</v>
      </c>
      <c r="F1356" s="291">
        <v>788</v>
      </c>
      <c r="G1356" s="291">
        <v>589</v>
      </c>
      <c r="H1356" s="287">
        <v>0.64962901896125302</v>
      </c>
      <c r="I1356" s="211">
        <v>3.3972835314091698</v>
      </c>
      <c r="J1356" s="211">
        <v>9.0023592634130706E-2</v>
      </c>
      <c r="K1356" s="288">
        <v>109.198617865201</v>
      </c>
    </row>
    <row r="1357" spans="2:11" x14ac:dyDescent="0.2">
      <c r="B1357">
        <v>19</v>
      </c>
      <c r="C1357">
        <v>4135</v>
      </c>
      <c r="D1357" s="308" t="s">
        <v>1929</v>
      </c>
      <c r="E1357" s="291">
        <v>2111</v>
      </c>
      <c r="F1357" s="291">
        <v>1025</v>
      </c>
      <c r="G1357" s="291">
        <v>969</v>
      </c>
      <c r="H1357" s="287">
        <v>0.48555187115111298</v>
      </c>
      <c r="I1357" s="211">
        <v>3.23632610939113</v>
      </c>
      <c r="J1357" s="211">
        <v>-8.4855387438108804E-2</v>
      </c>
      <c r="K1357" s="288">
        <v>-179.12972288184801</v>
      </c>
    </row>
    <row r="1358" spans="2:11" x14ac:dyDescent="0.2">
      <c r="B1358">
        <v>19</v>
      </c>
      <c r="C1358">
        <v>4136</v>
      </c>
      <c r="D1358" s="308" t="s">
        <v>1930</v>
      </c>
      <c r="E1358" s="291">
        <v>1320</v>
      </c>
      <c r="F1358" s="291">
        <v>250</v>
      </c>
      <c r="G1358" s="291">
        <v>280</v>
      </c>
      <c r="H1358" s="287">
        <v>0.189393939393939</v>
      </c>
      <c r="I1358" s="211">
        <v>5.6071428571428603</v>
      </c>
      <c r="J1358" s="211">
        <v>-0.395567635556344</v>
      </c>
      <c r="K1358" s="288">
        <v>-522.14927893437402</v>
      </c>
    </row>
    <row r="1359" spans="2:11" x14ac:dyDescent="0.2">
      <c r="B1359">
        <v>19</v>
      </c>
      <c r="C1359">
        <v>4137</v>
      </c>
      <c r="D1359" s="308" t="s">
        <v>1931</v>
      </c>
      <c r="E1359" s="291">
        <v>475</v>
      </c>
      <c r="F1359" s="291">
        <v>127</v>
      </c>
      <c r="G1359" s="291">
        <v>113</v>
      </c>
      <c r="H1359" s="287">
        <v>0.26736842105263198</v>
      </c>
      <c r="I1359" s="211">
        <v>5.3274336283185804</v>
      </c>
      <c r="J1359" s="211">
        <v>-0.341436703474014</v>
      </c>
      <c r="K1359" s="288">
        <v>-162.18243415015701</v>
      </c>
    </row>
    <row r="1360" spans="2:11" x14ac:dyDescent="0.2">
      <c r="B1360">
        <v>19</v>
      </c>
      <c r="C1360">
        <v>4138</v>
      </c>
      <c r="D1360" s="308" t="s">
        <v>1932</v>
      </c>
      <c r="E1360" s="291">
        <v>772</v>
      </c>
      <c r="F1360" s="291">
        <v>206</v>
      </c>
      <c r="G1360" s="291">
        <v>376</v>
      </c>
      <c r="H1360" s="287">
        <v>0.26683937823834197</v>
      </c>
      <c r="I1360" s="211">
        <v>2.6010638297872299</v>
      </c>
      <c r="J1360" s="211">
        <v>-0.43021622139865101</v>
      </c>
      <c r="K1360" s="288">
        <v>-332.12692291975901</v>
      </c>
    </row>
    <row r="1361" spans="2:11" x14ac:dyDescent="0.2">
      <c r="B1361">
        <v>19</v>
      </c>
      <c r="C1361">
        <v>4139</v>
      </c>
      <c r="D1361" s="308" t="s">
        <v>1933</v>
      </c>
      <c r="E1361" s="291">
        <v>6066</v>
      </c>
      <c r="F1361" s="291">
        <v>1991</v>
      </c>
      <c r="G1361" s="291">
        <v>638</v>
      </c>
      <c r="H1361" s="287">
        <v>0.32822288163534502</v>
      </c>
      <c r="I1361" s="211">
        <v>12.628526645768</v>
      </c>
      <c r="J1361" s="211">
        <v>0.213982977740688</v>
      </c>
      <c r="K1361" s="288">
        <v>1298.0207429750101</v>
      </c>
    </row>
    <row r="1362" spans="2:11" x14ac:dyDescent="0.2">
      <c r="B1362">
        <v>19</v>
      </c>
      <c r="C1362">
        <v>4140</v>
      </c>
      <c r="D1362" s="308" t="s">
        <v>1934</v>
      </c>
      <c r="E1362" s="291">
        <v>2684</v>
      </c>
      <c r="F1362" s="291">
        <v>941</v>
      </c>
      <c r="G1362" s="291">
        <v>940</v>
      </c>
      <c r="H1362" s="287">
        <v>0.35059612518628902</v>
      </c>
      <c r="I1362" s="211">
        <v>3.8563829787234001</v>
      </c>
      <c r="J1362" s="211">
        <v>-0.207570781872706</v>
      </c>
      <c r="K1362" s="288">
        <v>-557.11997854634205</v>
      </c>
    </row>
    <row r="1363" spans="2:11" x14ac:dyDescent="0.2">
      <c r="B1363">
        <v>19</v>
      </c>
      <c r="C1363">
        <v>4141</v>
      </c>
      <c r="D1363" s="308" t="s">
        <v>1935</v>
      </c>
      <c r="E1363" s="291">
        <v>8270</v>
      </c>
      <c r="F1363" s="291">
        <v>3632</v>
      </c>
      <c r="G1363" s="291">
        <v>951</v>
      </c>
      <c r="H1363" s="287">
        <v>0.43917775090689198</v>
      </c>
      <c r="I1363" s="211">
        <v>12.515247108306999</v>
      </c>
      <c r="J1363" s="211">
        <v>0.43155491759515102</v>
      </c>
      <c r="K1363" s="288">
        <v>3568.9591685118999</v>
      </c>
    </row>
    <row r="1364" spans="2:11" x14ac:dyDescent="0.2">
      <c r="B1364">
        <v>19</v>
      </c>
      <c r="C1364">
        <v>4142</v>
      </c>
      <c r="D1364" s="308" t="s">
        <v>1936</v>
      </c>
      <c r="E1364" s="291">
        <v>841</v>
      </c>
      <c r="F1364" s="291">
        <v>342</v>
      </c>
      <c r="G1364" s="291">
        <v>723</v>
      </c>
      <c r="H1364" s="287">
        <v>0.40665873959571902</v>
      </c>
      <c r="I1364" s="211">
        <v>1.63623789764869</v>
      </c>
      <c r="J1364" s="211">
        <v>-0.28952249945652497</v>
      </c>
      <c r="K1364" s="288">
        <v>-243.488422042937</v>
      </c>
    </row>
    <row r="1365" spans="2:11" x14ac:dyDescent="0.2">
      <c r="B1365">
        <v>19</v>
      </c>
      <c r="C1365">
        <v>4143</v>
      </c>
      <c r="D1365" s="308" t="s">
        <v>1937</v>
      </c>
      <c r="E1365" s="291">
        <v>1176</v>
      </c>
      <c r="F1365" s="291">
        <v>381</v>
      </c>
      <c r="G1365" s="291">
        <v>858</v>
      </c>
      <c r="H1365" s="287">
        <v>0.32397959183673503</v>
      </c>
      <c r="I1365" s="211">
        <v>1.8146853146853099</v>
      </c>
      <c r="J1365" s="211">
        <v>-0.372664672453771</v>
      </c>
      <c r="K1365" s="288">
        <v>-438.25365480563499</v>
      </c>
    </row>
    <row r="1366" spans="2:11" x14ac:dyDescent="0.2">
      <c r="B1366">
        <v>19</v>
      </c>
      <c r="C1366">
        <v>4144</v>
      </c>
      <c r="D1366" s="308" t="s">
        <v>1938</v>
      </c>
      <c r="E1366" s="291">
        <v>4239</v>
      </c>
      <c r="F1366" s="291">
        <v>1701</v>
      </c>
      <c r="G1366" s="291">
        <v>620</v>
      </c>
      <c r="H1366" s="287">
        <v>0.40127388535031799</v>
      </c>
      <c r="I1366" s="211">
        <v>9.5806451612903203</v>
      </c>
      <c r="J1366" s="211">
        <v>0.123493882745133</v>
      </c>
      <c r="K1366" s="288">
        <v>523.49056895662</v>
      </c>
    </row>
    <row r="1367" spans="2:11" x14ac:dyDescent="0.2">
      <c r="B1367">
        <v>19</v>
      </c>
      <c r="C1367">
        <v>4145</v>
      </c>
      <c r="D1367" s="308" t="s">
        <v>1939</v>
      </c>
      <c r="E1367" s="291">
        <v>1575</v>
      </c>
      <c r="F1367" s="291">
        <v>319</v>
      </c>
      <c r="G1367" s="291">
        <v>354</v>
      </c>
      <c r="H1367" s="287">
        <v>0.20253968253968299</v>
      </c>
      <c r="I1367" s="211">
        <v>5.3502824858757103</v>
      </c>
      <c r="J1367" s="211">
        <v>-0.37890609037367001</v>
      </c>
      <c r="K1367" s="288">
        <v>-596.77709233853</v>
      </c>
    </row>
    <row r="1368" spans="2:11" x14ac:dyDescent="0.2">
      <c r="B1368">
        <v>19</v>
      </c>
      <c r="C1368">
        <v>4146</v>
      </c>
      <c r="D1368" s="308" t="s">
        <v>1940</v>
      </c>
      <c r="E1368" s="291">
        <v>3027</v>
      </c>
      <c r="F1368" s="291">
        <v>1140</v>
      </c>
      <c r="G1368" s="291">
        <v>888</v>
      </c>
      <c r="H1368" s="287">
        <v>0.37661050545094199</v>
      </c>
      <c r="I1368" s="211">
        <v>4.6925675675675702</v>
      </c>
      <c r="J1368" s="211">
        <v>-0.13172048077833801</v>
      </c>
      <c r="K1368" s="288">
        <v>-398.71789531603002</v>
      </c>
    </row>
    <row r="1369" spans="2:11" x14ac:dyDescent="0.2">
      <c r="B1369">
        <v>19</v>
      </c>
      <c r="C1369">
        <v>4147</v>
      </c>
      <c r="D1369" s="308" t="s">
        <v>1941</v>
      </c>
      <c r="E1369" s="291">
        <v>1319</v>
      </c>
      <c r="F1369" s="291">
        <v>587</v>
      </c>
      <c r="G1369" s="291">
        <v>575</v>
      </c>
      <c r="H1369" s="287">
        <v>0.445034116755118</v>
      </c>
      <c r="I1369" s="211">
        <v>3.31478260869565</v>
      </c>
      <c r="J1369" s="211">
        <v>-0.16246293451132099</v>
      </c>
      <c r="K1369" s="288">
        <v>-214.288610620432</v>
      </c>
    </row>
    <row r="1370" spans="2:11" x14ac:dyDescent="0.2">
      <c r="B1370">
        <v>19</v>
      </c>
      <c r="C1370">
        <v>4161</v>
      </c>
      <c r="D1370" s="308" t="s">
        <v>1942</v>
      </c>
      <c r="E1370" s="291">
        <v>2255</v>
      </c>
      <c r="F1370" s="291">
        <v>1356</v>
      </c>
      <c r="G1370" s="291">
        <v>693</v>
      </c>
      <c r="H1370" s="287">
        <v>0.60133037694013303</v>
      </c>
      <c r="I1370" s="211">
        <v>5.2106782106782097</v>
      </c>
      <c r="J1370" s="211">
        <v>0.13614998981932999</v>
      </c>
      <c r="K1370" s="288">
        <v>307.01822704258802</v>
      </c>
    </row>
    <row r="1371" spans="2:11" x14ac:dyDescent="0.2">
      <c r="B1371">
        <v>19</v>
      </c>
      <c r="C1371">
        <v>4163</v>
      </c>
      <c r="D1371" s="308" t="s">
        <v>1943</v>
      </c>
      <c r="E1371" s="291">
        <v>5319</v>
      </c>
      <c r="F1371" s="291">
        <v>3648</v>
      </c>
      <c r="G1371" s="291">
        <v>989</v>
      </c>
      <c r="H1371" s="287">
        <v>0.68584320360970097</v>
      </c>
      <c r="I1371" s="211">
        <v>9.0667340748230494</v>
      </c>
      <c r="J1371" s="211">
        <v>0.49863805584330101</v>
      </c>
      <c r="K1371" s="288">
        <v>2652.2558190305199</v>
      </c>
    </row>
    <row r="1372" spans="2:11" x14ac:dyDescent="0.2">
      <c r="B1372">
        <v>19</v>
      </c>
      <c r="C1372">
        <v>4164</v>
      </c>
      <c r="D1372" s="308" t="s">
        <v>1944</v>
      </c>
      <c r="E1372" s="291">
        <v>1019</v>
      </c>
      <c r="F1372" s="291">
        <v>184</v>
      </c>
      <c r="G1372" s="291">
        <v>876</v>
      </c>
      <c r="H1372" s="287">
        <v>0.18056918547595699</v>
      </c>
      <c r="I1372" s="211">
        <v>1.3732876712328801</v>
      </c>
      <c r="J1372" s="211">
        <v>-0.57247707658097602</v>
      </c>
      <c r="K1372" s="288">
        <v>-583.35414103601499</v>
      </c>
    </row>
    <row r="1373" spans="2:11" x14ac:dyDescent="0.2">
      <c r="B1373">
        <v>19</v>
      </c>
      <c r="C1373">
        <v>4165</v>
      </c>
      <c r="D1373" s="308" t="s">
        <v>1945</v>
      </c>
      <c r="E1373" s="291">
        <v>3512</v>
      </c>
      <c r="F1373" s="291">
        <v>754</v>
      </c>
      <c r="G1373" s="291">
        <v>1017</v>
      </c>
      <c r="H1373" s="287">
        <v>0.21469248291571799</v>
      </c>
      <c r="I1373" s="211">
        <v>4.19469026548673</v>
      </c>
      <c r="J1373" s="211">
        <v>-0.33199705182445899</v>
      </c>
      <c r="K1373" s="288">
        <v>-1165.9736460075001</v>
      </c>
    </row>
    <row r="1374" spans="2:11" x14ac:dyDescent="0.2">
      <c r="B1374">
        <v>19</v>
      </c>
      <c r="C1374">
        <v>4166</v>
      </c>
      <c r="D1374" s="308" t="s">
        <v>1946</v>
      </c>
      <c r="E1374" s="291">
        <v>1471</v>
      </c>
      <c r="F1374" s="291">
        <v>412</v>
      </c>
      <c r="G1374" s="291">
        <v>622</v>
      </c>
      <c r="H1374" s="287">
        <v>0.28008157715839599</v>
      </c>
      <c r="I1374" s="211">
        <v>3.0273311897106101</v>
      </c>
      <c r="J1374" s="211">
        <v>-0.371546092289192</v>
      </c>
      <c r="K1374" s="288">
        <v>-546.54430175740094</v>
      </c>
    </row>
    <row r="1375" spans="2:11" x14ac:dyDescent="0.2">
      <c r="B1375">
        <v>19</v>
      </c>
      <c r="C1375">
        <v>4167</v>
      </c>
      <c r="D1375" s="308" t="s">
        <v>1947</v>
      </c>
      <c r="E1375" s="291">
        <v>957</v>
      </c>
      <c r="F1375" s="291">
        <v>202</v>
      </c>
      <c r="G1375" s="291">
        <v>729</v>
      </c>
      <c r="H1375" s="287">
        <v>0.21107628004179699</v>
      </c>
      <c r="I1375" s="211">
        <v>1.58984910836763</v>
      </c>
      <c r="J1375" s="211">
        <v>-0.52914147750643803</v>
      </c>
      <c r="K1375" s="288">
        <v>-506.38839397366201</v>
      </c>
    </row>
    <row r="1376" spans="2:11" x14ac:dyDescent="0.2">
      <c r="B1376">
        <v>19</v>
      </c>
      <c r="C1376">
        <v>4169</v>
      </c>
      <c r="D1376" s="308" t="s">
        <v>1948</v>
      </c>
      <c r="E1376" s="291">
        <v>2582</v>
      </c>
      <c r="F1376" s="291">
        <v>863</v>
      </c>
      <c r="G1376" s="291">
        <v>1778</v>
      </c>
      <c r="H1376" s="287">
        <v>0.33423702556158003</v>
      </c>
      <c r="I1376" s="211">
        <v>1.93757030371204</v>
      </c>
      <c r="J1376" s="211">
        <v>-0.30174803025584002</v>
      </c>
      <c r="K1376" s="288">
        <v>-779.113414120578</v>
      </c>
    </row>
    <row r="1377" spans="2:11" x14ac:dyDescent="0.2">
      <c r="B1377">
        <v>19</v>
      </c>
      <c r="C1377">
        <v>4170</v>
      </c>
      <c r="D1377" s="308" t="s">
        <v>1949</v>
      </c>
      <c r="E1377" s="291">
        <v>3569</v>
      </c>
      <c r="F1377" s="291">
        <v>2864</v>
      </c>
      <c r="G1377" s="291">
        <v>1408</v>
      </c>
      <c r="H1377" s="287">
        <v>0.80246567666012902</v>
      </c>
      <c r="I1377" s="211">
        <v>4.5688920454545503</v>
      </c>
      <c r="J1377" s="211">
        <v>0.412181185808979</v>
      </c>
      <c r="K1377" s="288">
        <v>1471.0746521522401</v>
      </c>
    </row>
    <row r="1378" spans="2:11" x14ac:dyDescent="0.2">
      <c r="B1378">
        <v>19</v>
      </c>
      <c r="C1378">
        <v>4172</v>
      </c>
      <c r="D1378" s="308" t="s">
        <v>1950</v>
      </c>
      <c r="E1378" s="291">
        <v>911</v>
      </c>
      <c r="F1378" s="291">
        <v>466</v>
      </c>
      <c r="G1378" s="291">
        <v>245</v>
      </c>
      <c r="H1378" s="287">
        <v>0.51152579582876001</v>
      </c>
      <c r="I1378" s="211">
        <v>5.62040816326531</v>
      </c>
      <c r="J1378" s="211">
        <v>-1.1537073433295001E-2</v>
      </c>
      <c r="K1378" s="288">
        <v>-10.5102738977317</v>
      </c>
    </row>
    <row r="1379" spans="2:11" x14ac:dyDescent="0.2">
      <c r="B1379">
        <v>19</v>
      </c>
      <c r="C1379">
        <v>4173</v>
      </c>
      <c r="D1379" s="308" t="s">
        <v>1951</v>
      </c>
      <c r="E1379" s="291">
        <v>598</v>
      </c>
      <c r="F1379" s="291">
        <v>136</v>
      </c>
      <c r="G1379" s="291">
        <v>815</v>
      </c>
      <c r="H1379" s="287">
        <v>0.22742474916388</v>
      </c>
      <c r="I1379" s="211">
        <v>0.90061349693251502</v>
      </c>
      <c r="J1379" s="211">
        <v>-0.547747142420551</v>
      </c>
      <c r="K1379" s="288">
        <v>-327.55279116748898</v>
      </c>
    </row>
    <row r="1380" spans="2:11" x14ac:dyDescent="0.2">
      <c r="B1380">
        <v>19</v>
      </c>
      <c r="C1380">
        <v>4175</v>
      </c>
      <c r="D1380" s="308" t="s">
        <v>1952</v>
      </c>
      <c r="E1380" s="291">
        <v>965</v>
      </c>
      <c r="F1380" s="291">
        <v>285</v>
      </c>
      <c r="G1380" s="291">
        <v>439</v>
      </c>
      <c r="H1380" s="287">
        <v>0.295336787564767</v>
      </c>
      <c r="I1380" s="211">
        <v>2.84738041002278</v>
      </c>
      <c r="J1380" s="211">
        <v>-0.378541915021677</v>
      </c>
      <c r="K1380" s="288">
        <v>-365.29294799591798</v>
      </c>
    </row>
    <row r="1381" spans="2:11" x14ac:dyDescent="0.2">
      <c r="B1381">
        <v>19</v>
      </c>
      <c r="C1381">
        <v>4176</v>
      </c>
      <c r="D1381" s="308" t="s">
        <v>1953</v>
      </c>
      <c r="E1381" s="291">
        <v>684</v>
      </c>
      <c r="F1381" s="291">
        <v>225</v>
      </c>
      <c r="G1381" s="291">
        <v>250</v>
      </c>
      <c r="H1381" s="287">
        <v>0.32894736842105299</v>
      </c>
      <c r="I1381" s="211">
        <v>3.6360000000000001</v>
      </c>
      <c r="J1381" s="211">
        <v>-0.318856802161957</v>
      </c>
      <c r="K1381" s="288">
        <v>-218.098052678778</v>
      </c>
    </row>
    <row r="1382" spans="2:11" x14ac:dyDescent="0.2">
      <c r="B1382">
        <v>19</v>
      </c>
      <c r="C1382">
        <v>4177</v>
      </c>
      <c r="D1382" s="308" t="s">
        <v>1954</v>
      </c>
      <c r="E1382" s="291">
        <v>1564</v>
      </c>
      <c r="F1382" s="291">
        <v>1010</v>
      </c>
      <c r="G1382" s="291">
        <v>220</v>
      </c>
      <c r="H1382" s="287">
        <v>0.64578005115089498</v>
      </c>
      <c r="I1382" s="211">
        <v>11.7</v>
      </c>
      <c r="J1382" s="211">
        <v>0.40159192126910598</v>
      </c>
      <c r="K1382" s="288">
        <v>628.089764864882</v>
      </c>
    </row>
    <row r="1383" spans="2:11" x14ac:dyDescent="0.2">
      <c r="B1383">
        <v>19</v>
      </c>
      <c r="C1383">
        <v>4179</v>
      </c>
      <c r="D1383" s="308" t="s">
        <v>1955</v>
      </c>
      <c r="E1383" s="291">
        <v>906</v>
      </c>
      <c r="F1383" s="291">
        <v>147</v>
      </c>
      <c r="G1383" s="291">
        <v>509</v>
      </c>
      <c r="H1383" s="287">
        <v>0.16225165562913901</v>
      </c>
      <c r="I1383" s="211">
        <v>2.0687622789783902</v>
      </c>
      <c r="J1383" s="211">
        <v>-0.57411863967266996</v>
      </c>
      <c r="K1383" s="288">
        <v>-520.15148754343898</v>
      </c>
    </row>
    <row r="1384" spans="2:11" x14ac:dyDescent="0.2">
      <c r="B1384">
        <v>19</v>
      </c>
      <c r="C1384">
        <v>4181</v>
      </c>
      <c r="D1384" s="308" t="s">
        <v>1956</v>
      </c>
      <c r="E1384" s="291">
        <v>1255</v>
      </c>
      <c r="F1384" s="291">
        <v>220</v>
      </c>
      <c r="G1384" s="291">
        <v>1121</v>
      </c>
      <c r="H1384" s="287">
        <v>0.175298804780877</v>
      </c>
      <c r="I1384" s="211">
        <v>1.31578947368421</v>
      </c>
      <c r="J1384" s="211">
        <v>-0.57208834208014703</v>
      </c>
      <c r="K1384" s="288">
        <v>-717.97086931058504</v>
      </c>
    </row>
    <row r="1385" spans="2:11" x14ac:dyDescent="0.2">
      <c r="B1385">
        <v>19</v>
      </c>
      <c r="C1385">
        <v>4182</v>
      </c>
      <c r="D1385" s="308" t="s">
        <v>1957</v>
      </c>
      <c r="E1385" s="291">
        <v>1027</v>
      </c>
      <c r="F1385" s="291">
        <v>330</v>
      </c>
      <c r="G1385" s="291">
        <v>949</v>
      </c>
      <c r="H1385" s="287">
        <v>0.32132424537487803</v>
      </c>
      <c r="I1385" s="211">
        <v>1.4299262381454201</v>
      </c>
      <c r="J1385" s="211">
        <v>-0.39568630711567898</v>
      </c>
      <c r="K1385" s="288">
        <v>-406.36983740780198</v>
      </c>
    </row>
    <row r="1386" spans="2:11" x14ac:dyDescent="0.2">
      <c r="B1386">
        <v>19</v>
      </c>
      <c r="C1386">
        <v>4183</v>
      </c>
      <c r="D1386" s="308" t="s">
        <v>1958</v>
      </c>
      <c r="E1386" s="291">
        <v>1116</v>
      </c>
      <c r="F1386" s="291">
        <v>272</v>
      </c>
      <c r="G1386" s="291">
        <v>687</v>
      </c>
      <c r="H1386" s="287">
        <v>0.24372759856630799</v>
      </c>
      <c r="I1386" s="211">
        <v>2.0203784570596799</v>
      </c>
      <c r="J1386" s="211">
        <v>-0.46689787721850801</v>
      </c>
      <c r="K1386" s="288">
        <v>-521.05803097585499</v>
      </c>
    </row>
    <row r="1387" spans="2:11" x14ac:dyDescent="0.2">
      <c r="B1387">
        <v>19</v>
      </c>
      <c r="C1387">
        <v>4184</v>
      </c>
      <c r="D1387" s="308" t="s">
        <v>1959</v>
      </c>
      <c r="E1387" s="291">
        <v>1933</v>
      </c>
      <c r="F1387" s="291">
        <v>791</v>
      </c>
      <c r="G1387" s="291">
        <v>2131</v>
      </c>
      <c r="H1387" s="287">
        <v>0.40920848422141698</v>
      </c>
      <c r="I1387" s="211">
        <v>1.27827311121539</v>
      </c>
      <c r="J1387" s="211">
        <v>-0.25769862504756402</v>
      </c>
      <c r="K1387" s="288">
        <v>-498.13144221694199</v>
      </c>
    </row>
    <row r="1388" spans="2:11" x14ac:dyDescent="0.2">
      <c r="B1388">
        <v>19</v>
      </c>
      <c r="C1388">
        <v>4191</v>
      </c>
      <c r="D1388" s="308" t="s">
        <v>1960</v>
      </c>
      <c r="E1388" s="291">
        <v>690</v>
      </c>
      <c r="F1388" s="291">
        <v>77</v>
      </c>
      <c r="G1388" s="291">
        <v>320</v>
      </c>
      <c r="H1388" s="287">
        <v>0.111594202898551</v>
      </c>
      <c r="I1388" s="211">
        <v>2.3968750000000001</v>
      </c>
      <c r="J1388" s="211">
        <v>-0.63317352468224397</v>
      </c>
      <c r="K1388" s="288">
        <v>-436.88973203074801</v>
      </c>
    </row>
    <row r="1389" spans="2:11" x14ac:dyDescent="0.2">
      <c r="B1389">
        <v>19</v>
      </c>
      <c r="C1389">
        <v>4192</v>
      </c>
      <c r="D1389" s="308" t="s">
        <v>1961</v>
      </c>
      <c r="E1389" s="291">
        <v>1390</v>
      </c>
      <c r="F1389" s="291">
        <v>243</v>
      </c>
      <c r="G1389" s="291">
        <v>207</v>
      </c>
      <c r="H1389" s="287">
        <v>0.174820143884892</v>
      </c>
      <c r="I1389" s="211">
        <v>7.8888888888888902</v>
      </c>
      <c r="J1389" s="211">
        <v>-0.32770232715314301</v>
      </c>
      <c r="K1389" s="288">
        <v>-455.50623474286903</v>
      </c>
    </row>
    <row r="1390" spans="2:11" x14ac:dyDescent="0.2">
      <c r="B1390">
        <v>19</v>
      </c>
      <c r="C1390">
        <v>4193</v>
      </c>
      <c r="D1390" s="308" t="s">
        <v>1962</v>
      </c>
      <c r="E1390" s="291">
        <v>738</v>
      </c>
      <c r="F1390" s="291">
        <v>541</v>
      </c>
      <c r="G1390" s="291">
        <v>151</v>
      </c>
      <c r="H1390" s="287">
        <v>0.73306233062330595</v>
      </c>
      <c r="I1390" s="211">
        <v>8.4701986754966896</v>
      </c>
      <c r="J1390" s="211">
        <v>0.36034800940200801</v>
      </c>
      <c r="K1390" s="288">
        <v>265.93683093868202</v>
      </c>
    </row>
    <row r="1391" spans="2:11" x14ac:dyDescent="0.2">
      <c r="B1391">
        <v>19</v>
      </c>
      <c r="C1391">
        <v>4194</v>
      </c>
      <c r="D1391" s="308" t="s">
        <v>1963</v>
      </c>
      <c r="E1391" s="291">
        <v>2188</v>
      </c>
      <c r="F1391" s="291">
        <v>1035</v>
      </c>
      <c r="G1391" s="291">
        <v>372</v>
      </c>
      <c r="H1391" s="287">
        <v>0.47303473491773301</v>
      </c>
      <c r="I1391" s="211">
        <v>8.6639784946236595</v>
      </c>
      <c r="J1391" s="211">
        <v>0.10060496214780899</v>
      </c>
      <c r="K1391" s="288">
        <v>220.123657179406</v>
      </c>
    </row>
    <row r="1392" spans="2:11" x14ac:dyDescent="0.2">
      <c r="B1392">
        <v>19</v>
      </c>
      <c r="C1392">
        <v>4195</v>
      </c>
      <c r="D1392" s="308" t="s">
        <v>1964</v>
      </c>
      <c r="E1392" s="291">
        <v>1352</v>
      </c>
      <c r="F1392" s="291">
        <v>431</v>
      </c>
      <c r="G1392" s="291">
        <v>632</v>
      </c>
      <c r="H1392" s="287">
        <v>0.31878698224852098</v>
      </c>
      <c r="I1392" s="211">
        <v>2.8212025316455702</v>
      </c>
      <c r="J1392" s="211">
        <v>-0.33565131503018703</v>
      </c>
      <c r="K1392" s="288">
        <v>-453.80057792081197</v>
      </c>
    </row>
    <row r="1393" spans="2:11" x14ac:dyDescent="0.2">
      <c r="B1393">
        <v>19</v>
      </c>
      <c r="C1393">
        <v>4196</v>
      </c>
      <c r="D1393" s="308" t="s">
        <v>1965</v>
      </c>
      <c r="E1393" s="291">
        <v>2061</v>
      </c>
      <c r="F1393" s="291">
        <v>853</v>
      </c>
      <c r="G1393" s="291">
        <v>397</v>
      </c>
      <c r="H1393" s="287">
        <v>0.41387675885492498</v>
      </c>
      <c r="I1393" s="211">
        <v>7.3400503778337498</v>
      </c>
      <c r="J1393" s="211">
        <v>-2.5857871547452799E-2</v>
      </c>
      <c r="K1393" s="288">
        <v>-53.293073259300101</v>
      </c>
    </row>
    <row r="1394" spans="2:11" x14ac:dyDescent="0.2">
      <c r="B1394">
        <v>19</v>
      </c>
      <c r="C1394">
        <v>4197</v>
      </c>
      <c r="D1394" s="308" t="s">
        <v>1966</v>
      </c>
      <c r="E1394" s="291">
        <v>872</v>
      </c>
      <c r="F1394" s="291">
        <v>243</v>
      </c>
      <c r="G1394" s="291">
        <v>218</v>
      </c>
      <c r="H1394" s="287">
        <v>0.278669724770642</v>
      </c>
      <c r="I1394" s="211">
        <v>5.1146788990825698</v>
      </c>
      <c r="J1394" s="211">
        <v>-0.32002577346960598</v>
      </c>
      <c r="K1394" s="288">
        <v>-279.062474465496</v>
      </c>
    </row>
    <row r="1395" spans="2:11" x14ac:dyDescent="0.2">
      <c r="B1395">
        <v>19</v>
      </c>
      <c r="C1395">
        <v>4198</v>
      </c>
      <c r="D1395" s="308" t="s">
        <v>1967</v>
      </c>
      <c r="E1395" s="291">
        <v>1208</v>
      </c>
      <c r="F1395" s="291">
        <v>443</v>
      </c>
      <c r="G1395" s="291">
        <v>347</v>
      </c>
      <c r="H1395" s="287">
        <v>0.366721854304636</v>
      </c>
      <c r="I1395" s="211">
        <v>4.7579250720461097</v>
      </c>
      <c r="J1395" s="211">
        <v>-0.21109258587024499</v>
      </c>
      <c r="K1395" s="288">
        <v>-254.99984373125599</v>
      </c>
    </row>
    <row r="1396" spans="2:11" x14ac:dyDescent="0.2">
      <c r="B1396">
        <v>19</v>
      </c>
      <c r="C1396">
        <v>4199</v>
      </c>
      <c r="D1396" s="308" t="s">
        <v>1968</v>
      </c>
      <c r="E1396" s="291">
        <v>1178</v>
      </c>
      <c r="F1396" s="291">
        <v>766</v>
      </c>
      <c r="G1396" s="291">
        <v>206</v>
      </c>
      <c r="H1396" s="287">
        <v>0.65025466893039097</v>
      </c>
      <c r="I1396" s="211">
        <v>9.4368932038834892</v>
      </c>
      <c r="J1396" s="211">
        <v>0.30981793784939299</v>
      </c>
      <c r="K1396" s="288">
        <v>364.96553078658502</v>
      </c>
    </row>
    <row r="1397" spans="2:11" x14ac:dyDescent="0.2">
      <c r="B1397">
        <v>19</v>
      </c>
      <c r="C1397">
        <v>4200</v>
      </c>
      <c r="D1397" s="308" t="s">
        <v>1969</v>
      </c>
      <c r="E1397" s="291">
        <v>3954</v>
      </c>
      <c r="F1397" s="291">
        <v>1753</v>
      </c>
      <c r="G1397" s="291">
        <v>323</v>
      </c>
      <c r="H1397" s="287">
        <v>0.443348507840162</v>
      </c>
      <c r="I1397" s="211">
        <v>17.668730650154799</v>
      </c>
      <c r="J1397" s="211">
        <v>0.459837000296274</v>
      </c>
      <c r="K1397" s="288">
        <v>1818.1954991714699</v>
      </c>
    </row>
    <row r="1398" spans="2:11" x14ac:dyDescent="0.2">
      <c r="B1398">
        <v>19</v>
      </c>
      <c r="C1398">
        <v>4201</v>
      </c>
      <c r="D1398" s="308" t="s">
        <v>1970</v>
      </c>
      <c r="E1398" s="291">
        <v>9503</v>
      </c>
      <c r="F1398" s="291">
        <v>9200</v>
      </c>
      <c r="G1398" s="291">
        <v>1126</v>
      </c>
      <c r="H1398" s="287">
        <v>0.96811533200042099</v>
      </c>
      <c r="I1398" s="211">
        <v>16.610124333925398</v>
      </c>
      <c r="J1398" s="211">
        <v>1.2835101137688301</v>
      </c>
      <c r="K1398" s="288">
        <v>12197.1966111452</v>
      </c>
    </row>
    <row r="1399" spans="2:11" x14ac:dyDescent="0.2">
      <c r="B1399">
        <v>19</v>
      </c>
      <c r="C1399">
        <v>4202</v>
      </c>
      <c r="D1399" s="308" t="s">
        <v>1971</v>
      </c>
      <c r="E1399" s="291">
        <v>2885</v>
      </c>
      <c r="F1399" s="291">
        <v>1116</v>
      </c>
      <c r="G1399" s="291">
        <v>428</v>
      </c>
      <c r="H1399" s="287">
        <v>0.38682842287695002</v>
      </c>
      <c r="I1399" s="211">
        <v>9.3481308411215007</v>
      </c>
      <c r="J1399" s="211">
        <v>4.5374629321811001E-2</v>
      </c>
      <c r="K1399" s="288">
        <v>130.90580559342499</v>
      </c>
    </row>
    <row r="1400" spans="2:11" x14ac:dyDescent="0.2">
      <c r="B1400">
        <v>19</v>
      </c>
      <c r="C1400">
        <v>4203</v>
      </c>
      <c r="D1400" s="308" t="s">
        <v>1972</v>
      </c>
      <c r="E1400" s="291">
        <v>4394</v>
      </c>
      <c r="F1400" s="291">
        <v>1580</v>
      </c>
      <c r="G1400" s="291">
        <v>649</v>
      </c>
      <c r="H1400" s="287">
        <v>0.359581247155212</v>
      </c>
      <c r="I1400" s="211">
        <v>9.2049306625577803</v>
      </c>
      <c r="J1400" s="211">
        <v>6.4044307692175506E-2</v>
      </c>
      <c r="K1400" s="288">
        <v>281.410687999419</v>
      </c>
    </row>
    <row r="1401" spans="2:11" x14ac:dyDescent="0.2">
      <c r="B1401">
        <v>19</v>
      </c>
      <c r="C1401">
        <v>4204</v>
      </c>
      <c r="D1401" s="308" t="s">
        <v>1973</v>
      </c>
      <c r="E1401" s="291">
        <v>4685</v>
      </c>
      <c r="F1401" s="291">
        <v>1441</v>
      </c>
      <c r="G1401" s="291">
        <v>327</v>
      </c>
      <c r="H1401" s="287">
        <v>0.30757737459978701</v>
      </c>
      <c r="I1401" s="211">
        <v>18.7339449541284</v>
      </c>
      <c r="J1401" s="211">
        <v>0.35838996337414603</v>
      </c>
      <c r="K1401" s="288">
        <v>1679.05697840788</v>
      </c>
    </row>
    <row r="1402" spans="2:11" x14ac:dyDescent="0.2">
      <c r="B1402">
        <v>19</v>
      </c>
      <c r="C1402">
        <v>4205</v>
      </c>
      <c r="D1402" s="308" t="s">
        <v>1974</v>
      </c>
      <c r="E1402" s="291">
        <v>2721</v>
      </c>
      <c r="F1402" s="291">
        <v>1325</v>
      </c>
      <c r="G1402" s="291">
        <v>470</v>
      </c>
      <c r="H1402" s="287">
        <v>0.48695332598309399</v>
      </c>
      <c r="I1402" s="211">
        <v>8.6085106382978704</v>
      </c>
      <c r="J1402" s="211">
        <v>0.13619427236659901</v>
      </c>
      <c r="K1402" s="288">
        <v>370.58461510951503</v>
      </c>
    </row>
    <row r="1403" spans="2:11" x14ac:dyDescent="0.2">
      <c r="B1403">
        <v>19</v>
      </c>
      <c r="C1403">
        <v>4206</v>
      </c>
      <c r="D1403" s="308" t="s">
        <v>1975</v>
      </c>
      <c r="E1403" s="291">
        <v>5388</v>
      </c>
      <c r="F1403" s="291">
        <v>2085</v>
      </c>
      <c r="G1403" s="291">
        <v>585</v>
      </c>
      <c r="H1403" s="287">
        <v>0.38697104677060101</v>
      </c>
      <c r="I1403" s="211">
        <v>12.774358974359</v>
      </c>
      <c r="J1403" s="211">
        <v>0.26619629979648302</v>
      </c>
      <c r="K1403" s="288">
        <v>1434.2656633034501</v>
      </c>
    </row>
    <row r="1404" spans="2:11" x14ac:dyDescent="0.2">
      <c r="B1404">
        <v>19</v>
      </c>
      <c r="C1404">
        <v>4207</v>
      </c>
      <c r="D1404" s="308" t="s">
        <v>1976</v>
      </c>
      <c r="E1404" s="291">
        <v>3071</v>
      </c>
      <c r="F1404" s="291">
        <v>2370</v>
      </c>
      <c r="G1404" s="291">
        <v>631</v>
      </c>
      <c r="H1404" s="287">
        <v>0.77173559101269895</v>
      </c>
      <c r="I1404" s="211">
        <v>8.6228209191759095</v>
      </c>
      <c r="J1404" s="211">
        <v>0.50298167330945498</v>
      </c>
      <c r="K1404" s="288">
        <v>1544.6567187333401</v>
      </c>
    </row>
    <row r="1405" spans="2:11" x14ac:dyDescent="0.2">
      <c r="B1405">
        <v>19</v>
      </c>
      <c r="C1405">
        <v>4208</v>
      </c>
      <c r="D1405" s="308" t="s">
        <v>1977</v>
      </c>
      <c r="E1405" s="291">
        <v>3854</v>
      </c>
      <c r="F1405" s="291">
        <v>1181</v>
      </c>
      <c r="G1405" s="291">
        <v>949</v>
      </c>
      <c r="H1405" s="287">
        <v>0.30643487285936699</v>
      </c>
      <c r="I1405" s="211">
        <v>5.3055848261327698</v>
      </c>
      <c r="J1405" s="211">
        <v>-0.164714317537801</v>
      </c>
      <c r="K1405" s="288">
        <v>-634.80897979068595</v>
      </c>
    </row>
    <row r="1406" spans="2:11" x14ac:dyDescent="0.2">
      <c r="B1406">
        <v>19</v>
      </c>
      <c r="C1406">
        <v>4209</v>
      </c>
      <c r="D1406" s="308" t="s">
        <v>1978</v>
      </c>
      <c r="E1406" s="291">
        <v>5127</v>
      </c>
      <c r="F1406" s="291">
        <v>2763</v>
      </c>
      <c r="G1406" s="291">
        <v>962</v>
      </c>
      <c r="H1406" s="287">
        <v>0.53891164423639604</v>
      </c>
      <c r="I1406" s="211">
        <v>8.2016632016631998</v>
      </c>
      <c r="J1406" s="211">
        <v>0.277667229305814</v>
      </c>
      <c r="K1406" s="288">
        <v>1423.5998846509101</v>
      </c>
    </row>
    <row r="1407" spans="2:11" x14ac:dyDescent="0.2">
      <c r="B1407">
        <v>19</v>
      </c>
      <c r="C1407">
        <v>4210</v>
      </c>
      <c r="D1407" s="308" t="s">
        <v>1979</v>
      </c>
      <c r="E1407" s="291">
        <v>3160</v>
      </c>
      <c r="F1407" s="291">
        <v>527</v>
      </c>
      <c r="G1407" s="291">
        <v>351</v>
      </c>
      <c r="H1407" s="287">
        <v>0.16677215189873401</v>
      </c>
      <c r="I1407" s="211">
        <v>10.504273504273501</v>
      </c>
      <c r="J1407" s="211">
        <v>-0.17462150689651201</v>
      </c>
      <c r="K1407" s="288">
        <v>-551.80396179297895</v>
      </c>
    </row>
    <row r="1408" spans="2:11" x14ac:dyDescent="0.2">
      <c r="B1408">
        <v>19</v>
      </c>
      <c r="C1408">
        <v>4221</v>
      </c>
      <c r="D1408" s="308" t="s">
        <v>1980</v>
      </c>
      <c r="E1408" s="291">
        <v>997</v>
      </c>
      <c r="F1408" s="291">
        <v>194</v>
      </c>
      <c r="G1408" s="291">
        <v>413</v>
      </c>
      <c r="H1408" s="287">
        <v>0.19458375125376101</v>
      </c>
      <c r="I1408" s="211">
        <v>2.8837772397094401</v>
      </c>
      <c r="J1408" s="211">
        <v>-0.50084081672451197</v>
      </c>
      <c r="K1408" s="288">
        <v>-499.33829427433898</v>
      </c>
    </row>
    <row r="1409" spans="2:11" x14ac:dyDescent="0.2">
      <c r="B1409">
        <v>19</v>
      </c>
      <c r="C1409">
        <v>4222</v>
      </c>
      <c r="D1409" s="308" t="s">
        <v>1981</v>
      </c>
      <c r="E1409" s="291">
        <v>1413</v>
      </c>
      <c r="F1409" s="291">
        <v>232</v>
      </c>
      <c r="G1409" s="291">
        <v>803</v>
      </c>
      <c r="H1409" s="287">
        <v>0.16418966737438101</v>
      </c>
      <c r="I1409" s="211">
        <v>2.0485678704856798</v>
      </c>
      <c r="J1409" s="211">
        <v>-0.55308172108309706</v>
      </c>
      <c r="K1409" s="288">
        <v>-781.50447189041597</v>
      </c>
    </row>
    <row r="1410" spans="2:11" x14ac:dyDescent="0.2">
      <c r="B1410">
        <v>19</v>
      </c>
      <c r="C1410">
        <v>4223</v>
      </c>
      <c r="D1410" s="308" t="s">
        <v>1982</v>
      </c>
      <c r="E1410" s="291">
        <v>2064</v>
      </c>
      <c r="F1410" s="291">
        <v>595</v>
      </c>
      <c r="G1410" s="291">
        <v>854</v>
      </c>
      <c r="H1410" s="287">
        <v>0.28827519379845001</v>
      </c>
      <c r="I1410" s="211">
        <v>3.1135831381733001</v>
      </c>
      <c r="J1410" s="211">
        <v>-0.33558772091124001</v>
      </c>
      <c r="K1410" s="288">
        <v>-692.65305596079997</v>
      </c>
    </row>
    <row r="1411" spans="2:11" x14ac:dyDescent="0.2">
      <c r="B1411">
        <v>19</v>
      </c>
      <c r="C1411">
        <v>4224</v>
      </c>
      <c r="D1411" s="308" t="s">
        <v>1983</v>
      </c>
      <c r="E1411" s="291">
        <v>1110</v>
      </c>
      <c r="F1411" s="291">
        <v>453</v>
      </c>
      <c r="G1411" s="291">
        <v>1131</v>
      </c>
      <c r="H1411" s="287">
        <v>0.40810810810810799</v>
      </c>
      <c r="I1411" s="211">
        <v>1.3819628647214901</v>
      </c>
      <c r="J1411" s="211">
        <v>-0.28672542322182099</v>
      </c>
      <c r="K1411" s="288">
        <v>-318.26521977622099</v>
      </c>
    </row>
    <row r="1412" spans="2:11" x14ac:dyDescent="0.2">
      <c r="B1412">
        <v>19</v>
      </c>
      <c r="C1412">
        <v>4226</v>
      </c>
      <c r="D1412" s="308" t="s">
        <v>1984</v>
      </c>
      <c r="E1412" s="291">
        <v>616</v>
      </c>
      <c r="F1412" s="291">
        <v>122</v>
      </c>
      <c r="G1412" s="291">
        <v>233</v>
      </c>
      <c r="H1412" s="287">
        <v>0.19805194805194801</v>
      </c>
      <c r="I1412" s="211">
        <v>3.1673819742489302</v>
      </c>
      <c r="J1412" s="211">
        <v>-0.50075358275062798</v>
      </c>
      <c r="K1412" s="288">
        <v>-308.46420697438703</v>
      </c>
    </row>
    <row r="1413" spans="2:11" x14ac:dyDescent="0.2">
      <c r="B1413">
        <v>19</v>
      </c>
      <c r="C1413">
        <v>4227</v>
      </c>
      <c r="D1413" s="308" t="s">
        <v>1985</v>
      </c>
      <c r="E1413" s="291">
        <v>617</v>
      </c>
      <c r="F1413" s="291">
        <v>231</v>
      </c>
      <c r="G1413" s="291">
        <v>427</v>
      </c>
      <c r="H1413" s="287">
        <v>0.37439222042139397</v>
      </c>
      <c r="I1413" s="211">
        <v>1.98594847775176</v>
      </c>
      <c r="J1413" s="211">
        <v>-0.32530567238859698</v>
      </c>
      <c r="K1413" s="288">
        <v>-200.71359986376399</v>
      </c>
    </row>
    <row r="1414" spans="2:11" x14ac:dyDescent="0.2">
      <c r="B1414">
        <v>19</v>
      </c>
      <c r="C1414">
        <v>4228</v>
      </c>
      <c r="D1414" s="308" t="s">
        <v>1986</v>
      </c>
      <c r="E1414" s="291">
        <v>2808</v>
      </c>
      <c r="F1414" s="291">
        <v>1322</v>
      </c>
      <c r="G1414" s="291">
        <v>1164</v>
      </c>
      <c r="H1414" s="287">
        <v>0.47079772079772098</v>
      </c>
      <c r="I1414" s="211">
        <v>3.54810996563574</v>
      </c>
      <c r="J1414" s="211">
        <v>-6.5130703626726405E-2</v>
      </c>
      <c r="K1414" s="288">
        <v>-182.887015783848</v>
      </c>
    </row>
    <row r="1415" spans="2:11" x14ac:dyDescent="0.2">
      <c r="B1415">
        <v>19</v>
      </c>
      <c r="C1415">
        <v>4229</v>
      </c>
      <c r="D1415" s="308" t="s">
        <v>1987</v>
      </c>
      <c r="E1415" s="291">
        <v>1037</v>
      </c>
      <c r="F1415" s="291">
        <v>263</v>
      </c>
      <c r="G1415" s="291">
        <v>575</v>
      </c>
      <c r="H1415" s="287">
        <v>0.25361620057859202</v>
      </c>
      <c r="I1415" s="211">
        <v>2.2608695652173898</v>
      </c>
      <c r="J1415" s="211">
        <v>-0.44888845696471502</v>
      </c>
      <c r="K1415" s="288">
        <v>-465.49732987240901</v>
      </c>
    </row>
    <row r="1416" spans="2:11" x14ac:dyDescent="0.2">
      <c r="B1416">
        <v>19</v>
      </c>
      <c r="C1416">
        <v>4230</v>
      </c>
      <c r="D1416" s="308" t="s">
        <v>1988</v>
      </c>
      <c r="E1416" s="291">
        <v>1210</v>
      </c>
      <c r="F1416" s="291">
        <v>260</v>
      </c>
      <c r="G1416" s="291">
        <v>456</v>
      </c>
      <c r="H1416" s="287">
        <v>0.214876033057851</v>
      </c>
      <c r="I1416" s="211">
        <v>3.2236842105263199</v>
      </c>
      <c r="J1416" s="211">
        <v>-0.45515515628717501</v>
      </c>
      <c r="K1416" s="288">
        <v>-550.73773910748196</v>
      </c>
    </row>
    <row r="1417" spans="2:11" x14ac:dyDescent="0.2">
      <c r="B1417">
        <v>19</v>
      </c>
      <c r="C1417">
        <v>4231</v>
      </c>
      <c r="D1417" s="308" t="s">
        <v>1989</v>
      </c>
      <c r="E1417" s="291">
        <v>1310</v>
      </c>
      <c r="F1417" s="291">
        <v>213</v>
      </c>
      <c r="G1417" s="291">
        <v>543</v>
      </c>
      <c r="H1417" s="287">
        <v>0.162595419847328</v>
      </c>
      <c r="I1417" s="211">
        <v>2.8047882136279898</v>
      </c>
      <c r="J1417" s="211">
        <v>-0.53140197700082403</v>
      </c>
      <c r="K1417" s="288">
        <v>-696.13658987107999</v>
      </c>
    </row>
    <row r="1418" spans="2:11" x14ac:dyDescent="0.2">
      <c r="B1418">
        <v>19</v>
      </c>
      <c r="C1418">
        <v>4232</v>
      </c>
      <c r="D1418" s="308" t="s">
        <v>1990</v>
      </c>
      <c r="E1418" s="291">
        <v>199</v>
      </c>
      <c r="F1418" s="291">
        <v>91</v>
      </c>
      <c r="G1418" s="291">
        <v>327</v>
      </c>
      <c r="H1418" s="287">
        <v>0.457286432160804</v>
      </c>
      <c r="I1418" s="211">
        <v>0.88685015290519897</v>
      </c>
      <c r="J1418" s="211">
        <v>-0.27865852237467997</v>
      </c>
      <c r="K1418" s="288">
        <v>-55.453045952561297</v>
      </c>
    </row>
    <row r="1419" spans="2:11" x14ac:dyDescent="0.2">
      <c r="B1419">
        <v>19</v>
      </c>
      <c r="C1419">
        <v>4233</v>
      </c>
      <c r="D1419" s="308" t="s">
        <v>1991</v>
      </c>
      <c r="E1419" s="291">
        <v>354</v>
      </c>
      <c r="F1419" s="291">
        <v>104</v>
      </c>
      <c r="G1419" s="291">
        <v>267</v>
      </c>
      <c r="H1419" s="287">
        <v>0.29378531073446301</v>
      </c>
      <c r="I1419" s="211">
        <v>1.7153558052434501</v>
      </c>
      <c r="J1419" s="211">
        <v>-0.44511258448895402</v>
      </c>
      <c r="K1419" s="288">
        <v>-157.56985490909</v>
      </c>
    </row>
    <row r="1420" spans="2:11" x14ac:dyDescent="0.2">
      <c r="B1420">
        <v>19</v>
      </c>
      <c r="C1420">
        <v>4234</v>
      </c>
      <c r="D1420" s="308" t="s">
        <v>1992</v>
      </c>
      <c r="E1420" s="291">
        <v>3491</v>
      </c>
      <c r="F1420" s="291">
        <v>1712</v>
      </c>
      <c r="G1420" s="291">
        <v>1253</v>
      </c>
      <c r="H1420" s="287">
        <v>0.49040389573188198</v>
      </c>
      <c r="I1420" s="211">
        <v>4.1524341580207498</v>
      </c>
      <c r="J1420" s="211">
        <v>7.3105248267099996E-3</v>
      </c>
      <c r="K1420" s="288">
        <v>25.521042170044598</v>
      </c>
    </row>
    <row r="1421" spans="2:11" x14ac:dyDescent="0.2">
      <c r="B1421">
        <v>19</v>
      </c>
      <c r="C1421">
        <v>4235</v>
      </c>
      <c r="D1421" s="308" t="s">
        <v>1993</v>
      </c>
      <c r="E1421" s="291">
        <v>1096</v>
      </c>
      <c r="F1421" s="291">
        <v>358</v>
      </c>
      <c r="G1421" s="291">
        <v>518</v>
      </c>
      <c r="H1421" s="287">
        <v>0.32664233576642299</v>
      </c>
      <c r="I1421" s="211">
        <v>2.80694980694981</v>
      </c>
      <c r="J1421" s="211">
        <v>-0.336218880339691</v>
      </c>
      <c r="K1421" s="288">
        <v>-368.49589285230098</v>
      </c>
    </row>
    <row r="1422" spans="2:11" x14ac:dyDescent="0.2">
      <c r="B1422">
        <v>19</v>
      </c>
      <c r="C1422">
        <v>4236</v>
      </c>
      <c r="D1422" s="308" t="s">
        <v>1994</v>
      </c>
      <c r="E1422" s="291">
        <v>7638</v>
      </c>
      <c r="F1422" s="291">
        <v>5238</v>
      </c>
      <c r="G1422" s="291">
        <v>1227</v>
      </c>
      <c r="H1422" s="287">
        <v>0.68578161822466599</v>
      </c>
      <c r="I1422" s="211">
        <v>10.493887530562301</v>
      </c>
      <c r="J1422" s="211">
        <v>0.63923948681402498</v>
      </c>
      <c r="K1422" s="288">
        <v>4882.5112002855203</v>
      </c>
    </row>
    <row r="1423" spans="2:11" x14ac:dyDescent="0.2">
      <c r="B1423">
        <v>19</v>
      </c>
      <c r="C1423">
        <v>4237</v>
      </c>
      <c r="D1423" s="308" t="s">
        <v>1995</v>
      </c>
      <c r="E1423" s="291">
        <v>1575</v>
      </c>
      <c r="F1423" s="291">
        <v>336</v>
      </c>
      <c r="G1423" s="291">
        <v>512</v>
      </c>
      <c r="H1423" s="287">
        <v>0.21333333333333299</v>
      </c>
      <c r="I1423" s="211">
        <v>3.732421875</v>
      </c>
      <c r="J1423" s="211">
        <v>-0.42455896041615099</v>
      </c>
      <c r="K1423" s="288">
        <v>-668.68036265543697</v>
      </c>
    </row>
    <row r="1424" spans="2:11" x14ac:dyDescent="0.2">
      <c r="B1424">
        <v>19</v>
      </c>
      <c r="C1424">
        <v>4238</v>
      </c>
      <c r="D1424" s="308" t="s">
        <v>1996</v>
      </c>
      <c r="E1424" s="291">
        <v>790</v>
      </c>
      <c r="F1424" s="291">
        <v>166</v>
      </c>
      <c r="G1424" s="291">
        <v>383</v>
      </c>
      <c r="H1424" s="287">
        <v>0.21012658227848099</v>
      </c>
      <c r="I1424" s="211">
        <v>2.4960835509138399</v>
      </c>
      <c r="J1424" s="211">
        <v>-0.50363514142716703</v>
      </c>
      <c r="K1424" s="288">
        <v>-397.871761727462</v>
      </c>
    </row>
    <row r="1425" spans="2:11" x14ac:dyDescent="0.2">
      <c r="B1425">
        <v>19</v>
      </c>
      <c r="C1425">
        <v>4239</v>
      </c>
      <c r="D1425" s="308" t="s">
        <v>1997</v>
      </c>
      <c r="E1425" s="291">
        <v>4302</v>
      </c>
      <c r="F1425" s="291">
        <v>2288</v>
      </c>
      <c r="G1425" s="291">
        <v>2014</v>
      </c>
      <c r="H1425" s="287">
        <v>0.531845653184565</v>
      </c>
      <c r="I1425" s="211">
        <v>3.2720953326713</v>
      </c>
      <c r="J1425" s="211">
        <v>5.7532202679515199E-2</v>
      </c>
      <c r="K1425" s="288">
        <v>247.50353592727399</v>
      </c>
    </row>
    <row r="1426" spans="2:11" x14ac:dyDescent="0.2">
      <c r="B1426">
        <v>19</v>
      </c>
      <c r="C1426">
        <v>4240</v>
      </c>
      <c r="D1426" s="308" t="s">
        <v>1998</v>
      </c>
      <c r="E1426" s="291">
        <v>2820</v>
      </c>
      <c r="F1426" s="291">
        <v>665</v>
      </c>
      <c r="G1426" s="291">
        <v>452</v>
      </c>
      <c r="H1426" s="287">
        <v>0.235815602836879</v>
      </c>
      <c r="I1426" s="211">
        <v>7.7101769911504396</v>
      </c>
      <c r="J1426" s="211">
        <v>-0.20399973990694401</v>
      </c>
      <c r="K1426" s="288">
        <v>-575.27926653758095</v>
      </c>
    </row>
    <row r="1427" spans="2:11" x14ac:dyDescent="0.2">
      <c r="B1427">
        <v>19</v>
      </c>
      <c r="C1427">
        <v>4251</v>
      </c>
      <c r="D1427" s="308" t="s">
        <v>1999</v>
      </c>
      <c r="E1427" s="291">
        <v>797</v>
      </c>
      <c r="F1427" s="291">
        <v>159</v>
      </c>
      <c r="G1427" s="291">
        <v>706</v>
      </c>
      <c r="H1427" s="287">
        <v>0.199498117942284</v>
      </c>
      <c r="I1427" s="211">
        <v>1.3541076487252099</v>
      </c>
      <c r="J1427" s="211">
        <v>-0.55820331136150703</v>
      </c>
      <c r="K1427" s="288">
        <v>-444.88803915512102</v>
      </c>
    </row>
    <row r="1428" spans="2:11" x14ac:dyDescent="0.2">
      <c r="B1428">
        <v>19</v>
      </c>
      <c r="C1428">
        <v>4252</v>
      </c>
      <c r="D1428" s="308" t="s">
        <v>2000</v>
      </c>
      <c r="E1428" s="291">
        <v>5572</v>
      </c>
      <c r="F1428" s="291">
        <v>5202</v>
      </c>
      <c r="G1428" s="291">
        <v>453</v>
      </c>
      <c r="H1428" s="287">
        <v>0.933596554199569</v>
      </c>
      <c r="I1428" s="211">
        <v>23.783664459161098</v>
      </c>
      <c r="J1428" s="211">
        <v>1.35226233526866</v>
      </c>
      <c r="K1428" s="288">
        <v>7534.8057321169599</v>
      </c>
    </row>
    <row r="1429" spans="2:11" x14ac:dyDescent="0.2">
      <c r="B1429">
        <v>19</v>
      </c>
      <c r="C1429">
        <v>4253</v>
      </c>
      <c r="D1429" s="308" t="s">
        <v>2001</v>
      </c>
      <c r="E1429" s="291">
        <v>3932</v>
      </c>
      <c r="F1429" s="291">
        <v>767</v>
      </c>
      <c r="G1429" s="291">
        <v>1097</v>
      </c>
      <c r="H1429" s="287">
        <v>0.19506612410986801</v>
      </c>
      <c r="I1429" s="211">
        <v>4.2835004557885101</v>
      </c>
      <c r="J1429" s="211">
        <v>-0.33702909689212102</v>
      </c>
      <c r="K1429" s="288">
        <v>-1325.19840897982</v>
      </c>
    </row>
    <row r="1430" spans="2:11" x14ac:dyDescent="0.2">
      <c r="B1430">
        <v>19</v>
      </c>
      <c r="C1430">
        <v>4254</v>
      </c>
      <c r="D1430" s="308" t="s">
        <v>2002</v>
      </c>
      <c r="E1430" s="291">
        <v>10913</v>
      </c>
      <c r="F1430" s="291">
        <v>4247</v>
      </c>
      <c r="G1430" s="291">
        <v>1817</v>
      </c>
      <c r="H1430" s="287">
        <v>0.38916888115092102</v>
      </c>
      <c r="I1430" s="211">
        <v>8.3434232250963092</v>
      </c>
      <c r="J1430" s="211">
        <v>0.318363499687214</v>
      </c>
      <c r="K1430" s="288">
        <v>3474.3008720865701</v>
      </c>
    </row>
    <row r="1431" spans="2:11" x14ac:dyDescent="0.2">
      <c r="B1431">
        <v>19</v>
      </c>
      <c r="C1431">
        <v>4255</v>
      </c>
      <c r="D1431" s="308" t="s">
        <v>2003</v>
      </c>
      <c r="E1431" s="291">
        <v>1392</v>
      </c>
      <c r="F1431" s="291">
        <v>206</v>
      </c>
      <c r="G1431" s="291">
        <v>289</v>
      </c>
      <c r="H1431" s="287">
        <v>0.14798850574712599</v>
      </c>
      <c r="I1431" s="211">
        <v>5.5294117647058796</v>
      </c>
      <c r="J1431" s="211">
        <v>-0.44696071749986699</v>
      </c>
      <c r="K1431" s="288">
        <v>-622.16931875981504</v>
      </c>
    </row>
    <row r="1432" spans="2:11" x14ac:dyDescent="0.2">
      <c r="B1432">
        <v>19</v>
      </c>
      <c r="C1432">
        <v>4256</v>
      </c>
      <c r="D1432" s="308" t="s">
        <v>2004</v>
      </c>
      <c r="E1432" s="291">
        <v>1051</v>
      </c>
      <c r="F1432" s="291">
        <v>155</v>
      </c>
      <c r="G1432" s="291">
        <v>502</v>
      </c>
      <c r="H1432" s="287">
        <v>0.14747859181731701</v>
      </c>
      <c r="I1432" s="211">
        <v>2.4023904382470098</v>
      </c>
      <c r="J1432" s="211">
        <v>-0.57471202604370697</v>
      </c>
      <c r="K1432" s="288">
        <v>-604.02233937193603</v>
      </c>
    </row>
    <row r="1433" spans="2:11" x14ac:dyDescent="0.2">
      <c r="B1433">
        <v>19</v>
      </c>
      <c r="C1433">
        <v>4257</v>
      </c>
      <c r="D1433" s="308" t="s">
        <v>2005</v>
      </c>
      <c r="E1433" s="291">
        <v>357</v>
      </c>
      <c r="F1433" s="291">
        <v>111</v>
      </c>
      <c r="G1433" s="291">
        <v>464</v>
      </c>
      <c r="H1433" s="287">
        <v>0.310924369747899</v>
      </c>
      <c r="I1433" s="211">
        <v>1.0086206896551699</v>
      </c>
      <c r="J1433" s="211">
        <v>-0.44954522378045397</v>
      </c>
      <c r="K1433" s="288">
        <v>-160.487644889622</v>
      </c>
    </row>
    <row r="1434" spans="2:11" x14ac:dyDescent="0.2">
      <c r="B1434">
        <v>19</v>
      </c>
      <c r="C1434">
        <v>4258</v>
      </c>
      <c r="D1434" s="308" t="s">
        <v>2006</v>
      </c>
      <c r="E1434" s="291">
        <v>13337</v>
      </c>
      <c r="F1434" s="291">
        <v>7691</v>
      </c>
      <c r="G1434" s="291">
        <v>1496</v>
      </c>
      <c r="H1434" s="287">
        <v>0.57666641673539798</v>
      </c>
      <c r="I1434" s="211">
        <v>14.0561497326203</v>
      </c>
      <c r="J1434" s="211">
        <v>0.85175347241350297</v>
      </c>
      <c r="K1434" s="288">
        <v>11359.836061578901</v>
      </c>
    </row>
    <row r="1435" spans="2:11" x14ac:dyDescent="0.2">
      <c r="B1435">
        <v>19</v>
      </c>
      <c r="C1435">
        <v>4259</v>
      </c>
      <c r="D1435" s="308" t="s">
        <v>2007</v>
      </c>
      <c r="E1435" s="291">
        <v>812</v>
      </c>
      <c r="F1435" s="291">
        <v>188</v>
      </c>
      <c r="G1435" s="291">
        <v>700</v>
      </c>
      <c r="H1435" s="287">
        <v>0.231527093596059</v>
      </c>
      <c r="I1435" s="211">
        <v>1.4285714285714299</v>
      </c>
      <c r="J1435" s="211">
        <v>-0.51522418472877596</v>
      </c>
      <c r="K1435" s="288">
        <v>-418.36203799976602</v>
      </c>
    </row>
    <row r="1436" spans="2:11" x14ac:dyDescent="0.2">
      <c r="B1436">
        <v>19</v>
      </c>
      <c r="C1436">
        <v>4260</v>
      </c>
      <c r="D1436" s="308" t="s">
        <v>2008</v>
      </c>
      <c r="E1436" s="291">
        <v>3215</v>
      </c>
      <c r="F1436" s="291">
        <v>3744</v>
      </c>
      <c r="G1436" s="291">
        <v>253</v>
      </c>
      <c r="H1436" s="287">
        <v>1.16454121306376</v>
      </c>
      <c r="I1436" s="211">
        <v>27.505928853754899</v>
      </c>
      <c r="J1436" s="211">
        <v>1.68418853473678</v>
      </c>
      <c r="K1436" s="288">
        <v>5414.6661391787402</v>
      </c>
    </row>
    <row r="1437" spans="2:11" x14ac:dyDescent="0.2">
      <c r="B1437">
        <v>19</v>
      </c>
      <c r="C1437">
        <v>4261</v>
      </c>
      <c r="D1437" s="308" t="s">
        <v>2009</v>
      </c>
      <c r="E1437" s="291">
        <v>1920</v>
      </c>
      <c r="F1437" s="291">
        <v>880</v>
      </c>
      <c r="G1437" s="291">
        <v>409</v>
      </c>
      <c r="H1437" s="287">
        <v>0.45833333333333298</v>
      </c>
      <c r="I1437" s="211">
        <v>6.8459657701711496</v>
      </c>
      <c r="J1437" s="211">
        <v>5.81680861259399E-3</v>
      </c>
      <c r="K1437" s="288">
        <v>11.168272536180501</v>
      </c>
    </row>
    <row r="1438" spans="2:11" x14ac:dyDescent="0.2">
      <c r="B1438">
        <v>19</v>
      </c>
      <c r="C1438">
        <v>4262</v>
      </c>
      <c r="D1438" s="308" t="s">
        <v>2010</v>
      </c>
      <c r="E1438" s="291">
        <v>1079</v>
      </c>
      <c r="F1438" s="291">
        <v>215</v>
      </c>
      <c r="G1438" s="291">
        <v>705</v>
      </c>
      <c r="H1438" s="287">
        <v>0.19925857275254899</v>
      </c>
      <c r="I1438" s="211">
        <v>1.8354609929078001</v>
      </c>
      <c r="J1438" s="211">
        <v>-0.53016280160321305</v>
      </c>
      <c r="K1438" s="288">
        <v>-572.04566292986704</v>
      </c>
    </row>
    <row r="1439" spans="2:11" x14ac:dyDescent="0.2">
      <c r="B1439">
        <v>19</v>
      </c>
      <c r="C1439">
        <v>4263</v>
      </c>
      <c r="D1439" s="308" t="s">
        <v>2011</v>
      </c>
      <c r="E1439" s="291">
        <v>2278</v>
      </c>
      <c r="F1439" s="291">
        <v>559</v>
      </c>
      <c r="G1439" s="291">
        <v>1132</v>
      </c>
      <c r="H1439" s="287">
        <v>0.24539069359086901</v>
      </c>
      <c r="I1439" s="211">
        <v>2.5061837455830398</v>
      </c>
      <c r="J1439" s="211">
        <v>-0.40271292065804198</v>
      </c>
      <c r="K1439" s="288">
        <v>-917.38003325902105</v>
      </c>
    </row>
    <row r="1440" spans="2:11" x14ac:dyDescent="0.2">
      <c r="B1440">
        <v>19</v>
      </c>
      <c r="C1440">
        <v>4264</v>
      </c>
      <c r="D1440" s="308" t="s">
        <v>2012</v>
      </c>
      <c r="E1440" s="291">
        <v>873</v>
      </c>
      <c r="F1440" s="291">
        <v>234</v>
      </c>
      <c r="G1440" s="291">
        <v>833</v>
      </c>
      <c r="H1440" s="287">
        <v>0.268041237113402</v>
      </c>
      <c r="I1440" s="211">
        <v>1.32893157262905</v>
      </c>
      <c r="J1440" s="211">
        <v>-0.47128177002569299</v>
      </c>
      <c r="K1440" s="288">
        <v>-411.42898523243002</v>
      </c>
    </row>
    <row r="1441" spans="2:11" x14ac:dyDescent="0.2">
      <c r="B1441">
        <v>19</v>
      </c>
      <c r="C1441">
        <v>4271</v>
      </c>
      <c r="D1441" s="308" t="s">
        <v>2013</v>
      </c>
      <c r="E1441" s="291">
        <v>7854</v>
      </c>
      <c r="F1441" s="291">
        <v>3133</v>
      </c>
      <c r="G1441" s="291">
        <v>416</v>
      </c>
      <c r="H1441" s="287">
        <v>0.398905016552075</v>
      </c>
      <c r="I1441" s="211">
        <v>26.411057692307701</v>
      </c>
      <c r="J1441" s="211">
        <v>0.87274673970094296</v>
      </c>
      <c r="K1441" s="288">
        <v>6854.5528936111996</v>
      </c>
    </row>
    <row r="1442" spans="2:11" x14ac:dyDescent="0.2">
      <c r="B1442">
        <v>19</v>
      </c>
      <c r="C1442">
        <v>4272</v>
      </c>
      <c r="D1442" s="308" t="s">
        <v>2014</v>
      </c>
      <c r="E1442" s="291">
        <v>284</v>
      </c>
      <c r="F1442" s="291">
        <v>140</v>
      </c>
      <c r="G1442" s="291">
        <v>221</v>
      </c>
      <c r="H1442" s="287">
        <v>0.49295774647887303</v>
      </c>
      <c r="I1442" s="211">
        <v>1.9185520361991</v>
      </c>
      <c r="J1442" s="211">
        <v>-0.19356624948383999</v>
      </c>
      <c r="K1442" s="288">
        <v>-54.972814853410597</v>
      </c>
    </row>
    <row r="1443" spans="2:11" x14ac:dyDescent="0.2">
      <c r="B1443">
        <v>19</v>
      </c>
      <c r="C1443">
        <v>4273</v>
      </c>
      <c r="D1443" s="308" t="s">
        <v>2015</v>
      </c>
      <c r="E1443" s="291">
        <v>797</v>
      </c>
      <c r="F1443" s="291">
        <v>195</v>
      </c>
      <c r="G1443" s="291">
        <v>503</v>
      </c>
      <c r="H1443" s="287">
        <v>0.244667503136763</v>
      </c>
      <c r="I1443" s="211">
        <v>1.9721669980119301</v>
      </c>
      <c r="J1443" s="211">
        <v>-0.47968100688179199</v>
      </c>
      <c r="K1443" s="288">
        <v>-382.30576248478798</v>
      </c>
    </row>
    <row r="1444" spans="2:11" x14ac:dyDescent="0.2">
      <c r="B1444">
        <v>19</v>
      </c>
      <c r="C1444">
        <v>4274</v>
      </c>
      <c r="D1444" s="308" t="s">
        <v>2016</v>
      </c>
      <c r="E1444" s="291">
        <v>3882</v>
      </c>
      <c r="F1444" s="291">
        <v>686</v>
      </c>
      <c r="G1444" s="291">
        <v>1355</v>
      </c>
      <c r="H1444" s="287">
        <v>0.17671303451829001</v>
      </c>
      <c r="I1444" s="211">
        <v>3.3712177121771201</v>
      </c>
      <c r="J1444" s="211">
        <v>-0.39496688341980302</v>
      </c>
      <c r="K1444" s="288">
        <v>-1533.2614414356799</v>
      </c>
    </row>
    <row r="1445" spans="2:11" x14ac:dyDescent="0.2">
      <c r="B1445">
        <v>19</v>
      </c>
      <c r="C1445">
        <v>4275</v>
      </c>
      <c r="D1445" s="308" t="s">
        <v>2017</v>
      </c>
      <c r="E1445" s="291">
        <v>853</v>
      </c>
      <c r="F1445" s="291">
        <v>285</v>
      </c>
      <c r="G1445" s="291">
        <v>435</v>
      </c>
      <c r="H1445" s="287">
        <v>0.33411488862837002</v>
      </c>
      <c r="I1445" s="211">
        <v>2.6160919540229899</v>
      </c>
      <c r="J1445" s="211">
        <v>-0.34320754960336602</v>
      </c>
      <c r="K1445" s="288">
        <v>-292.75603981167097</v>
      </c>
    </row>
    <row r="1446" spans="2:11" x14ac:dyDescent="0.2">
      <c r="B1446">
        <v>19</v>
      </c>
      <c r="C1446">
        <v>4276</v>
      </c>
      <c r="D1446" s="308" t="s">
        <v>2018</v>
      </c>
      <c r="E1446" s="291">
        <v>4336</v>
      </c>
      <c r="F1446" s="291">
        <v>1355</v>
      </c>
      <c r="G1446" s="291">
        <v>884</v>
      </c>
      <c r="H1446" s="287">
        <v>0.3125</v>
      </c>
      <c r="I1446" s="211">
        <v>6.43778280542986</v>
      </c>
      <c r="J1446" s="211">
        <v>-9.7473190385752001E-2</v>
      </c>
      <c r="K1446" s="288">
        <v>-422.64375351261998</v>
      </c>
    </row>
    <row r="1447" spans="2:11" x14ac:dyDescent="0.2">
      <c r="B1447">
        <v>19</v>
      </c>
      <c r="C1447">
        <v>4277</v>
      </c>
      <c r="D1447" s="308" t="s">
        <v>2019</v>
      </c>
      <c r="E1447" s="291">
        <v>903</v>
      </c>
      <c r="F1447" s="291">
        <v>349</v>
      </c>
      <c r="G1447" s="291">
        <v>385</v>
      </c>
      <c r="H1447" s="287">
        <v>0.38648947951273499</v>
      </c>
      <c r="I1447" s="211">
        <v>3.2519480519480499</v>
      </c>
      <c r="J1447" s="211">
        <v>-0.25319702105913899</v>
      </c>
      <c r="K1447" s="288">
        <v>-228.636910016402</v>
      </c>
    </row>
    <row r="1448" spans="2:11" x14ac:dyDescent="0.2">
      <c r="B1448">
        <v>19</v>
      </c>
      <c r="C1448">
        <v>4279</v>
      </c>
      <c r="D1448" s="308" t="s">
        <v>2020</v>
      </c>
      <c r="E1448" s="291">
        <v>2920</v>
      </c>
      <c r="F1448" s="291">
        <v>931</v>
      </c>
      <c r="G1448" s="291">
        <v>1842</v>
      </c>
      <c r="H1448" s="287">
        <v>0.31883561643835601</v>
      </c>
      <c r="I1448" s="211">
        <v>2.0906623235613502</v>
      </c>
      <c r="J1448" s="211">
        <v>-0.30233250995175698</v>
      </c>
      <c r="K1448" s="288">
        <v>-882.81092905912999</v>
      </c>
    </row>
    <row r="1449" spans="2:11" x14ac:dyDescent="0.2">
      <c r="B1449">
        <v>19</v>
      </c>
      <c r="C1449">
        <v>4280</v>
      </c>
      <c r="D1449" s="308" t="s">
        <v>2021</v>
      </c>
      <c r="E1449" s="291">
        <v>13511</v>
      </c>
      <c r="F1449" s="291">
        <v>5260</v>
      </c>
      <c r="G1449" s="291">
        <v>1287</v>
      </c>
      <c r="H1449" s="287">
        <v>0.38931241210865197</v>
      </c>
      <c r="I1449" s="211">
        <v>14.5850815850816</v>
      </c>
      <c r="J1449" s="211">
        <v>0.64553774117436102</v>
      </c>
      <c r="K1449" s="288">
        <v>8721.8604210068006</v>
      </c>
    </row>
    <row r="1450" spans="2:11" x14ac:dyDescent="0.2">
      <c r="B1450">
        <v>19</v>
      </c>
      <c r="C1450">
        <v>4281</v>
      </c>
      <c r="D1450" s="308" t="s">
        <v>2022</v>
      </c>
      <c r="E1450" s="291">
        <v>1269</v>
      </c>
      <c r="F1450" s="291">
        <v>483</v>
      </c>
      <c r="G1450" s="291">
        <v>578</v>
      </c>
      <c r="H1450" s="287">
        <v>0.380614657210402</v>
      </c>
      <c r="I1450" s="211">
        <v>3.0311418685121101</v>
      </c>
      <c r="J1450" s="211">
        <v>-0.25454838314479999</v>
      </c>
      <c r="K1450" s="288">
        <v>-323.02189821075098</v>
      </c>
    </row>
    <row r="1451" spans="2:11" x14ac:dyDescent="0.2">
      <c r="B1451">
        <v>19</v>
      </c>
      <c r="C1451">
        <v>4282</v>
      </c>
      <c r="D1451" s="308" t="s">
        <v>2023</v>
      </c>
      <c r="E1451" s="291">
        <v>8853</v>
      </c>
      <c r="F1451" s="291">
        <v>4590</v>
      </c>
      <c r="G1451" s="291">
        <v>1153</v>
      </c>
      <c r="H1451" s="287">
        <v>0.51846831582514397</v>
      </c>
      <c r="I1451" s="211">
        <v>11.6591500433651</v>
      </c>
      <c r="J1451" s="211">
        <v>0.52085018727973498</v>
      </c>
      <c r="K1451" s="288">
        <v>4611.0867079874897</v>
      </c>
    </row>
    <row r="1452" spans="2:11" x14ac:dyDescent="0.2">
      <c r="B1452">
        <v>19</v>
      </c>
      <c r="C1452">
        <v>4283</v>
      </c>
      <c r="D1452" s="308" t="s">
        <v>2024</v>
      </c>
      <c r="E1452" s="291">
        <v>3740</v>
      </c>
      <c r="F1452" s="291">
        <v>1627</v>
      </c>
      <c r="G1452" s="291">
        <v>603</v>
      </c>
      <c r="H1452" s="287">
        <v>0.43502673796791402</v>
      </c>
      <c r="I1452" s="211">
        <v>8.9004975124378092</v>
      </c>
      <c r="J1452" s="211">
        <v>0.121437356336659</v>
      </c>
      <c r="K1452" s="288">
        <v>454.17571269910599</v>
      </c>
    </row>
    <row r="1453" spans="2:11" x14ac:dyDescent="0.2">
      <c r="B1453">
        <v>19</v>
      </c>
      <c r="C1453">
        <v>4284</v>
      </c>
      <c r="D1453" s="308" t="s">
        <v>2025</v>
      </c>
      <c r="E1453" s="291">
        <v>1109</v>
      </c>
      <c r="F1453" s="291">
        <v>356</v>
      </c>
      <c r="G1453" s="291">
        <v>891</v>
      </c>
      <c r="H1453" s="287">
        <v>0.32100991884580699</v>
      </c>
      <c r="I1453" s="211">
        <v>1.64421997755331</v>
      </c>
      <c r="J1453" s="211">
        <v>-0.38512408189006703</v>
      </c>
      <c r="K1453" s="288">
        <v>-427.10260681608401</v>
      </c>
    </row>
    <row r="1454" spans="2:11" x14ac:dyDescent="0.2">
      <c r="B1454">
        <v>19</v>
      </c>
      <c r="C1454">
        <v>4285</v>
      </c>
      <c r="D1454" s="308" t="s">
        <v>2026</v>
      </c>
      <c r="E1454" s="291">
        <v>4669</v>
      </c>
      <c r="F1454" s="291">
        <v>1404</v>
      </c>
      <c r="G1454" s="291">
        <v>601</v>
      </c>
      <c r="H1454" s="287">
        <v>0.30070678946241203</v>
      </c>
      <c r="I1454" s="211">
        <v>10.104825291181401</v>
      </c>
      <c r="J1454" s="211">
        <v>3.4429634040020703E-2</v>
      </c>
      <c r="K1454" s="288">
        <v>160.75196133285701</v>
      </c>
    </row>
    <row r="1455" spans="2:11" x14ac:dyDescent="0.2">
      <c r="B1455">
        <v>19</v>
      </c>
      <c r="C1455">
        <v>4286</v>
      </c>
      <c r="D1455" s="308" t="s">
        <v>2027</v>
      </c>
      <c r="E1455" s="291">
        <v>1359</v>
      </c>
      <c r="F1455" s="291">
        <v>372</v>
      </c>
      <c r="G1455" s="291">
        <v>708</v>
      </c>
      <c r="H1455" s="287">
        <v>0.27373068432671099</v>
      </c>
      <c r="I1455" s="211">
        <v>2.4449152542372898</v>
      </c>
      <c r="J1455" s="211">
        <v>-0.40494491605910099</v>
      </c>
      <c r="K1455" s="288">
        <v>-550.32014092431905</v>
      </c>
    </row>
    <row r="1456" spans="2:11" x14ac:dyDescent="0.2">
      <c r="B1456">
        <v>19</v>
      </c>
      <c r="C1456">
        <v>4287</v>
      </c>
      <c r="D1456" s="308" t="s">
        <v>2028</v>
      </c>
      <c r="E1456" s="291">
        <v>1942</v>
      </c>
      <c r="F1456" s="291">
        <v>616</v>
      </c>
      <c r="G1456" s="291">
        <v>1010</v>
      </c>
      <c r="H1456" s="287">
        <v>0.31719876416065901</v>
      </c>
      <c r="I1456" s="211">
        <v>2.53267326732673</v>
      </c>
      <c r="J1456" s="211">
        <v>-0.32560284013545199</v>
      </c>
      <c r="K1456" s="288">
        <v>-632.320715543049</v>
      </c>
    </row>
    <row r="1457" spans="2:11" x14ac:dyDescent="0.2">
      <c r="B1457">
        <v>19</v>
      </c>
      <c r="C1457">
        <v>4288</v>
      </c>
      <c r="D1457" s="308" t="s">
        <v>2029</v>
      </c>
      <c r="E1457" s="291">
        <v>167</v>
      </c>
      <c r="F1457" s="291">
        <v>32</v>
      </c>
      <c r="G1457" s="291">
        <v>120</v>
      </c>
      <c r="H1457" s="287">
        <v>0.19161676646706599</v>
      </c>
      <c r="I1457" s="211">
        <v>1.6583333333333301</v>
      </c>
      <c r="J1457" s="211">
        <v>-0.58094182904202596</v>
      </c>
      <c r="K1457" s="288">
        <v>-97.017285450018406</v>
      </c>
    </row>
    <row r="1458" spans="2:11" x14ac:dyDescent="0.2">
      <c r="B1458">
        <v>19</v>
      </c>
      <c r="C1458">
        <v>4289</v>
      </c>
      <c r="D1458" s="308" t="s">
        <v>2030</v>
      </c>
      <c r="E1458" s="291">
        <v>11560</v>
      </c>
      <c r="F1458" s="291">
        <v>10778</v>
      </c>
      <c r="G1458" s="291">
        <v>1100</v>
      </c>
      <c r="H1458" s="287">
        <v>0.93235294117647105</v>
      </c>
      <c r="I1458" s="211">
        <v>20.3072727272727</v>
      </c>
      <c r="J1458" s="211">
        <v>1.4526827349159099</v>
      </c>
      <c r="K1458" s="288">
        <v>16793.012415627902</v>
      </c>
    </row>
    <row r="1459" spans="2:11" x14ac:dyDescent="0.2">
      <c r="B1459">
        <v>19</v>
      </c>
      <c r="C1459">
        <v>4301</v>
      </c>
      <c r="D1459" s="308" t="s">
        <v>2031</v>
      </c>
      <c r="E1459" s="291">
        <v>275</v>
      </c>
      <c r="F1459" s="291">
        <v>45</v>
      </c>
      <c r="G1459" s="291">
        <v>281</v>
      </c>
      <c r="H1459" s="287">
        <v>0.163636363636364</v>
      </c>
      <c r="I1459" s="211">
        <v>1.1387900355871901</v>
      </c>
      <c r="J1459" s="211">
        <v>-0.63044316183170801</v>
      </c>
      <c r="K1459" s="288">
        <v>-173.37186950372001</v>
      </c>
    </row>
    <row r="1460" spans="2:11" x14ac:dyDescent="0.2">
      <c r="B1460">
        <v>19</v>
      </c>
      <c r="C1460">
        <v>4302</v>
      </c>
      <c r="D1460" s="308" t="s">
        <v>2032</v>
      </c>
      <c r="E1460" s="291">
        <v>170</v>
      </c>
      <c r="F1460" s="291">
        <v>71</v>
      </c>
      <c r="G1460" s="291">
        <v>263</v>
      </c>
      <c r="H1460" s="287">
        <v>0.41764705882352898</v>
      </c>
      <c r="I1460" s="211">
        <v>0.91634980988593195</v>
      </c>
      <c r="J1460" s="211">
        <v>-0.32780998630252001</v>
      </c>
      <c r="K1460" s="288">
        <v>-55.727697671428402</v>
      </c>
    </row>
    <row r="1461" spans="2:11" x14ac:dyDescent="0.2">
      <c r="B1461">
        <v>19</v>
      </c>
      <c r="C1461">
        <v>4303</v>
      </c>
      <c r="D1461" s="308" t="s">
        <v>2033</v>
      </c>
      <c r="E1461" s="291">
        <v>3942</v>
      </c>
      <c r="F1461" s="291">
        <v>1525</v>
      </c>
      <c r="G1461" s="291">
        <v>665</v>
      </c>
      <c r="H1461" s="287">
        <v>0.38685946220192802</v>
      </c>
      <c r="I1461" s="211">
        <v>8.2210526315789494</v>
      </c>
      <c r="J1461" s="211">
        <v>4.4678822508247999E-2</v>
      </c>
      <c r="K1461" s="288">
        <v>176.12391832751399</v>
      </c>
    </row>
    <row r="1462" spans="2:11" x14ac:dyDescent="0.2">
      <c r="B1462">
        <v>19</v>
      </c>
      <c r="C1462">
        <v>4304</v>
      </c>
      <c r="D1462" s="308" t="s">
        <v>2034</v>
      </c>
      <c r="E1462" s="291">
        <v>3864</v>
      </c>
      <c r="F1462" s="291">
        <v>2164</v>
      </c>
      <c r="G1462" s="291">
        <v>650</v>
      </c>
      <c r="H1462" s="287">
        <v>0.56004140786749501</v>
      </c>
      <c r="I1462" s="211">
        <v>9.2738461538461507</v>
      </c>
      <c r="J1462" s="211">
        <v>0.29471072910177298</v>
      </c>
      <c r="K1462" s="288">
        <v>1138.7622572492501</v>
      </c>
    </row>
    <row r="1463" spans="2:11" x14ac:dyDescent="0.2">
      <c r="B1463">
        <v>19</v>
      </c>
      <c r="C1463">
        <v>4305</v>
      </c>
      <c r="D1463" s="308" t="s">
        <v>2035</v>
      </c>
      <c r="E1463" s="291">
        <v>2584</v>
      </c>
      <c r="F1463" s="291">
        <v>760</v>
      </c>
      <c r="G1463" s="291">
        <v>1183</v>
      </c>
      <c r="H1463" s="287">
        <v>0.29411764705882398</v>
      </c>
      <c r="I1463" s="211">
        <v>2.8267117497886698</v>
      </c>
      <c r="J1463" s="211">
        <v>-0.31894559940147699</v>
      </c>
      <c r="K1463" s="288">
        <v>-824.15542885341597</v>
      </c>
    </row>
    <row r="1464" spans="2:11" x14ac:dyDescent="0.2">
      <c r="B1464">
        <v>19</v>
      </c>
      <c r="C1464">
        <v>4306</v>
      </c>
      <c r="D1464" s="308" t="s">
        <v>2036</v>
      </c>
      <c r="E1464" s="291">
        <v>458</v>
      </c>
      <c r="F1464" s="291">
        <v>133</v>
      </c>
      <c r="G1464" s="291">
        <v>557</v>
      </c>
      <c r="H1464" s="287">
        <v>0.29039301310043703</v>
      </c>
      <c r="I1464" s="211">
        <v>1.0610412926391399</v>
      </c>
      <c r="J1464" s="211">
        <v>-0.46921521203189998</v>
      </c>
      <c r="K1464" s="288">
        <v>-214.90056711061001</v>
      </c>
    </row>
    <row r="1465" spans="2:11" x14ac:dyDescent="0.2">
      <c r="B1465">
        <v>19</v>
      </c>
      <c r="C1465">
        <v>4307</v>
      </c>
      <c r="D1465" s="308" t="s">
        <v>2037</v>
      </c>
      <c r="E1465" s="291">
        <v>880</v>
      </c>
      <c r="F1465" s="291">
        <v>267</v>
      </c>
      <c r="G1465" s="291">
        <v>434</v>
      </c>
      <c r="H1465" s="287">
        <v>0.30340909090909102</v>
      </c>
      <c r="I1465" s="211">
        <v>2.6428571428571401</v>
      </c>
      <c r="J1465" s="211">
        <v>-0.37924888424036901</v>
      </c>
      <c r="K1465" s="288">
        <v>-333.73901813152497</v>
      </c>
    </row>
    <row r="1466" spans="2:11" x14ac:dyDescent="0.2">
      <c r="B1466">
        <v>19</v>
      </c>
      <c r="C1466">
        <v>4308</v>
      </c>
      <c r="D1466" s="308" t="s">
        <v>2038</v>
      </c>
      <c r="E1466" s="291">
        <v>414</v>
      </c>
      <c r="F1466" s="291">
        <v>96</v>
      </c>
      <c r="G1466" s="291">
        <v>28</v>
      </c>
      <c r="H1466" s="287">
        <v>0.231884057971014</v>
      </c>
      <c r="I1466" s="211">
        <v>18.214285714285701</v>
      </c>
      <c r="J1466" s="211">
        <v>8.2441001246480697E-2</v>
      </c>
      <c r="K1466" s="288">
        <v>34.130574516042998</v>
      </c>
    </row>
    <row r="1467" spans="2:11" x14ac:dyDescent="0.2">
      <c r="B1467">
        <v>19</v>
      </c>
      <c r="C1467">
        <v>4309</v>
      </c>
      <c r="D1467" s="308" t="s">
        <v>2039</v>
      </c>
      <c r="E1467" s="291">
        <v>3340</v>
      </c>
      <c r="F1467" s="291">
        <v>1093</v>
      </c>
      <c r="G1467" s="291">
        <v>615</v>
      </c>
      <c r="H1467" s="287">
        <v>0.32724550898203603</v>
      </c>
      <c r="I1467" s="211">
        <v>7.2081300813008102</v>
      </c>
      <c r="J1467" s="211">
        <v>-8.91514380696731E-2</v>
      </c>
      <c r="K1467" s="288">
        <v>-297.76580315270797</v>
      </c>
    </row>
    <row r="1468" spans="2:11" x14ac:dyDescent="0.2">
      <c r="B1468">
        <v>19</v>
      </c>
      <c r="C1468">
        <v>4310</v>
      </c>
      <c r="D1468" s="308" t="s">
        <v>2040</v>
      </c>
      <c r="E1468" s="291">
        <v>1632</v>
      </c>
      <c r="F1468" s="291">
        <v>621</v>
      </c>
      <c r="G1468" s="291">
        <v>368</v>
      </c>
      <c r="H1468" s="287">
        <v>0.38051470588235298</v>
      </c>
      <c r="I1468" s="211">
        <v>6.1222826086956497</v>
      </c>
      <c r="J1468" s="211">
        <v>-0.128021299960868</v>
      </c>
      <c r="K1468" s="288">
        <v>-208.930761536137</v>
      </c>
    </row>
    <row r="1469" spans="2:11" x14ac:dyDescent="0.2">
      <c r="B1469">
        <v>19</v>
      </c>
      <c r="C1469">
        <v>4311</v>
      </c>
      <c r="D1469" s="308" t="s">
        <v>2041</v>
      </c>
      <c r="E1469" s="291">
        <v>1283</v>
      </c>
      <c r="F1469" s="291">
        <v>1163</v>
      </c>
      <c r="G1469" s="291">
        <v>611</v>
      </c>
      <c r="H1469" s="287">
        <v>0.906469212782541</v>
      </c>
      <c r="I1469" s="211">
        <v>4.0032733224222596</v>
      </c>
      <c r="J1469" s="211">
        <v>0.43307507711680898</v>
      </c>
      <c r="K1469" s="288">
        <v>555.63532394086599</v>
      </c>
    </row>
    <row r="1470" spans="2:11" x14ac:dyDescent="0.2">
      <c r="B1470">
        <v>19</v>
      </c>
      <c r="C1470">
        <v>4312</v>
      </c>
      <c r="D1470" s="308" t="s">
        <v>2042</v>
      </c>
      <c r="E1470" s="291">
        <v>2680</v>
      </c>
      <c r="F1470" s="291">
        <v>954</v>
      </c>
      <c r="G1470" s="291">
        <v>1264</v>
      </c>
      <c r="H1470" s="287">
        <v>0.35597014925373099</v>
      </c>
      <c r="I1470" s="211">
        <v>2.875</v>
      </c>
      <c r="J1470" s="211">
        <v>-0.23687028040286701</v>
      </c>
      <c r="K1470" s="288">
        <v>-634.812351479683</v>
      </c>
    </row>
    <row r="1471" spans="2:11" x14ac:dyDescent="0.2">
      <c r="B1471">
        <v>19</v>
      </c>
      <c r="C1471">
        <v>4313</v>
      </c>
      <c r="D1471" s="308" t="s">
        <v>2043</v>
      </c>
      <c r="E1471" s="291">
        <v>2129</v>
      </c>
      <c r="F1471" s="291">
        <v>1111</v>
      </c>
      <c r="G1471" s="291">
        <v>1286</v>
      </c>
      <c r="H1471" s="287">
        <v>0.52184124001878796</v>
      </c>
      <c r="I1471" s="211">
        <v>2.5194401244167999</v>
      </c>
      <c r="J1471" s="211">
        <v>-6.5354863818378406E-2</v>
      </c>
      <c r="K1471" s="288">
        <v>-139.14050506932799</v>
      </c>
    </row>
    <row r="1472" spans="2:11" x14ac:dyDescent="0.2">
      <c r="B1472">
        <v>19</v>
      </c>
      <c r="C1472">
        <v>4314</v>
      </c>
      <c r="D1472" s="308" t="s">
        <v>2044</v>
      </c>
      <c r="E1472" s="291">
        <v>256</v>
      </c>
      <c r="F1472" s="291">
        <v>107</v>
      </c>
      <c r="G1472" s="291">
        <v>261</v>
      </c>
      <c r="H1472" s="287">
        <v>0.41796875</v>
      </c>
      <c r="I1472" s="211">
        <v>1.3908045977011501</v>
      </c>
      <c r="J1472" s="211">
        <v>-0.30681476382168299</v>
      </c>
      <c r="K1472" s="288">
        <v>-78.544579538350902</v>
      </c>
    </row>
    <row r="1473" spans="2:11" x14ac:dyDescent="0.2">
      <c r="B1473">
        <v>19</v>
      </c>
      <c r="C1473">
        <v>4315</v>
      </c>
      <c r="D1473" s="308" t="s">
        <v>2045</v>
      </c>
      <c r="E1473" s="291">
        <v>1003</v>
      </c>
      <c r="F1473" s="291">
        <v>401</v>
      </c>
      <c r="G1473" s="291">
        <v>299</v>
      </c>
      <c r="H1473" s="287">
        <v>0.39980059820538399</v>
      </c>
      <c r="I1473" s="211">
        <v>4.6956521739130404</v>
      </c>
      <c r="J1473" s="211">
        <v>-0.180207573001782</v>
      </c>
      <c r="K1473" s="288">
        <v>-180.74819572078701</v>
      </c>
    </row>
    <row r="1474" spans="2:11" x14ac:dyDescent="0.2">
      <c r="B1474">
        <v>19</v>
      </c>
      <c r="C1474">
        <v>4316</v>
      </c>
      <c r="D1474" s="308" t="s">
        <v>2046</v>
      </c>
      <c r="E1474" s="291">
        <v>740</v>
      </c>
      <c r="F1474" s="291">
        <v>175</v>
      </c>
      <c r="G1474" s="291">
        <v>359</v>
      </c>
      <c r="H1474" s="287">
        <v>0.23648648648648599</v>
      </c>
      <c r="I1474" s="211">
        <v>2.5487465181058502</v>
      </c>
      <c r="J1474" s="211">
        <v>-0.47095994751231901</v>
      </c>
      <c r="K1474" s="288">
        <v>-348.51036115911597</v>
      </c>
    </row>
    <row r="1475" spans="2:11" x14ac:dyDescent="0.2">
      <c r="B1475">
        <v>19</v>
      </c>
      <c r="C1475">
        <v>4317</v>
      </c>
      <c r="D1475" s="308" t="s">
        <v>2047</v>
      </c>
      <c r="E1475" s="291">
        <v>309</v>
      </c>
      <c r="F1475" s="291">
        <v>58</v>
      </c>
      <c r="G1475" s="291">
        <v>274</v>
      </c>
      <c r="H1475" s="287">
        <v>0.187702265372168</v>
      </c>
      <c r="I1475" s="211">
        <v>1.3394160583941599</v>
      </c>
      <c r="J1475" s="211">
        <v>-0.59200255576640903</v>
      </c>
      <c r="K1475" s="288">
        <v>-182.92878973181999</v>
      </c>
    </row>
    <row r="1476" spans="2:11" x14ac:dyDescent="0.2">
      <c r="B1476">
        <v>19</v>
      </c>
      <c r="C1476">
        <v>4318</v>
      </c>
      <c r="D1476" s="308" t="s">
        <v>2048</v>
      </c>
      <c r="E1476" s="291">
        <v>1360</v>
      </c>
      <c r="F1476" s="291">
        <v>318</v>
      </c>
      <c r="G1476" s="291">
        <v>830</v>
      </c>
      <c r="H1476" s="287">
        <v>0.23382352941176501</v>
      </c>
      <c r="I1476" s="211">
        <v>2.02168674698795</v>
      </c>
      <c r="J1476" s="211">
        <v>-0.46979980086027201</v>
      </c>
      <c r="K1476" s="288">
        <v>-638.92772916997001</v>
      </c>
    </row>
    <row r="1477" spans="2:11" x14ac:dyDescent="0.2">
      <c r="B1477">
        <v>19</v>
      </c>
      <c r="C1477">
        <v>4319</v>
      </c>
      <c r="D1477" s="308" t="s">
        <v>2049</v>
      </c>
      <c r="E1477" s="291">
        <v>636</v>
      </c>
      <c r="F1477" s="291">
        <v>195</v>
      </c>
      <c r="G1477" s="291">
        <v>553</v>
      </c>
      <c r="H1477" s="287">
        <v>0.30660377358490598</v>
      </c>
      <c r="I1477" s="211">
        <v>1.5027124773960201</v>
      </c>
      <c r="J1477" s="211">
        <v>-0.426211669769478</v>
      </c>
      <c r="K1477" s="288">
        <v>-271.07062197338797</v>
      </c>
    </row>
    <row r="1478" spans="2:11" x14ac:dyDescent="0.2">
      <c r="B1478">
        <v>19</v>
      </c>
      <c r="C1478">
        <v>4320</v>
      </c>
      <c r="D1478" s="308" t="s">
        <v>2050</v>
      </c>
      <c r="E1478" s="291">
        <v>1204</v>
      </c>
      <c r="F1478" s="291">
        <v>449</v>
      </c>
      <c r="G1478" s="291">
        <v>702</v>
      </c>
      <c r="H1478" s="287">
        <v>0.37292358803986703</v>
      </c>
      <c r="I1478" s="211">
        <v>2.3547008547008499</v>
      </c>
      <c r="J1478" s="211">
        <v>-0.29124258452622098</v>
      </c>
      <c r="K1478" s="288">
        <v>-350.65607176957002</v>
      </c>
    </row>
    <row r="1479" spans="2:11" x14ac:dyDescent="0.2">
      <c r="B1479">
        <v>19</v>
      </c>
      <c r="C1479">
        <v>4322</v>
      </c>
      <c r="D1479" s="308" t="s">
        <v>2051</v>
      </c>
      <c r="E1479" s="291">
        <v>358</v>
      </c>
      <c r="F1479" s="291">
        <v>152</v>
      </c>
      <c r="G1479" s="291">
        <v>369</v>
      </c>
      <c r="H1479" s="287">
        <v>0.42458100558659201</v>
      </c>
      <c r="I1479" s="211">
        <v>1.38211382113821</v>
      </c>
      <c r="J1479" s="211">
        <v>-0.29504081262534099</v>
      </c>
      <c r="K1479" s="288">
        <v>-105.624610919872</v>
      </c>
    </row>
    <row r="1480" spans="2:11" x14ac:dyDescent="0.2">
      <c r="B1480">
        <v>19</v>
      </c>
      <c r="C1480">
        <v>4323</v>
      </c>
      <c r="D1480" s="308" t="s">
        <v>2052</v>
      </c>
      <c r="E1480" s="291">
        <v>4165</v>
      </c>
      <c r="F1480" s="291">
        <v>3153</v>
      </c>
      <c r="G1480" s="291">
        <v>626</v>
      </c>
      <c r="H1480" s="287">
        <v>0.75702280912364905</v>
      </c>
      <c r="I1480" s="211">
        <v>11.6900958466454</v>
      </c>
      <c r="J1480" s="211">
        <v>0.63846143389599797</v>
      </c>
      <c r="K1480" s="288">
        <v>2659.1918721768302</v>
      </c>
    </row>
    <row r="1481" spans="2:11" x14ac:dyDescent="0.2">
      <c r="B1481">
        <v>20</v>
      </c>
      <c r="C1481">
        <v>4401</v>
      </c>
      <c r="D1481" s="308" t="s">
        <v>2053</v>
      </c>
      <c r="E1481" s="291">
        <v>14340</v>
      </c>
      <c r="F1481" s="291">
        <v>5991</v>
      </c>
      <c r="G1481" s="291">
        <v>585</v>
      </c>
      <c r="H1481" s="287">
        <v>0.41778242677824301</v>
      </c>
      <c r="I1481" s="211">
        <v>34.753846153846197</v>
      </c>
      <c r="J1481" s="211">
        <v>1.4483539114780399</v>
      </c>
      <c r="K1481" s="288">
        <v>20769.395090595001</v>
      </c>
    </row>
    <row r="1482" spans="2:11" x14ac:dyDescent="0.2">
      <c r="B1482">
        <v>20</v>
      </c>
      <c r="C1482">
        <v>4406</v>
      </c>
      <c r="D1482" s="308" t="s">
        <v>2054</v>
      </c>
      <c r="E1482" s="291">
        <v>728</v>
      </c>
      <c r="F1482" s="291">
        <v>233</v>
      </c>
      <c r="G1482" s="291">
        <v>127</v>
      </c>
      <c r="H1482" s="287">
        <v>0.32005494505494497</v>
      </c>
      <c r="I1482" s="211">
        <v>7.5669291338582703</v>
      </c>
      <c r="J1482" s="211">
        <v>-0.184774004650087</v>
      </c>
      <c r="K1482" s="288">
        <v>-134.51547538526401</v>
      </c>
    </row>
    <row r="1483" spans="2:11" x14ac:dyDescent="0.2">
      <c r="B1483">
        <v>20</v>
      </c>
      <c r="C1483">
        <v>4411</v>
      </c>
      <c r="D1483" s="308" t="s">
        <v>2055</v>
      </c>
      <c r="E1483" s="291">
        <v>4699</v>
      </c>
      <c r="F1483" s="291">
        <v>1983</v>
      </c>
      <c r="G1483" s="291">
        <v>1817</v>
      </c>
      <c r="H1483" s="287">
        <v>0.42200468184720202</v>
      </c>
      <c r="I1483" s="211">
        <v>3.6774903687396798</v>
      </c>
      <c r="J1483" s="211">
        <v>-4.8618710930841698E-2</v>
      </c>
      <c r="K1483" s="288">
        <v>-228.459322664025</v>
      </c>
    </row>
    <row r="1484" spans="2:11" x14ac:dyDescent="0.2">
      <c r="B1484">
        <v>20</v>
      </c>
      <c r="C1484">
        <v>4416</v>
      </c>
      <c r="D1484" s="308" t="s">
        <v>2056</v>
      </c>
      <c r="E1484" s="291">
        <v>1244</v>
      </c>
      <c r="F1484" s="291">
        <v>670</v>
      </c>
      <c r="G1484" s="291">
        <v>617</v>
      </c>
      <c r="H1484" s="287">
        <v>0.53858520900321505</v>
      </c>
      <c r="I1484" s="211">
        <v>3.1021069692058298</v>
      </c>
      <c r="J1484" s="211">
        <v>-5.7162999296896201E-2</v>
      </c>
      <c r="K1484" s="288">
        <v>-71.1107711253389</v>
      </c>
    </row>
    <row r="1485" spans="2:11" x14ac:dyDescent="0.2">
      <c r="B1485">
        <v>20</v>
      </c>
      <c r="C1485">
        <v>4421</v>
      </c>
      <c r="D1485" s="308" t="s">
        <v>2057</v>
      </c>
      <c r="E1485" s="291">
        <v>2604</v>
      </c>
      <c r="F1485" s="291">
        <v>1126</v>
      </c>
      <c r="G1485" s="291">
        <v>172</v>
      </c>
      <c r="H1485" s="287">
        <v>0.43241167434715799</v>
      </c>
      <c r="I1485" s="211">
        <v>21.6860465116279</v>
      </c>
      <c r="J1485" s="211">
        <v>0.54127427500676195</v>
      </c>
      <c r="K1485" s="288">
        <v>1409.4782121176099</v>
      </c>
    </row>
    <row r="1486" spans="2:11" x14ac:dyDescent="0.2">
      <c r="B1486">
        <v>20</v>
      </c>
      <c r="C1486">
        <v>4426</v>
      </c>
      <c r="D1486" s="308" t="s">
        <v>2058</v>
      </c>
      <c r="E1486" s="291">
        <v>996</v>
      </c>
      <c r="F1486" s="291">
        <v>581</v>
      </c>
      <c r="G1486" s="291">
        <v>440</v>
      </c>
      <c r="H1486" s="287">
        <v>0.58333333333333304</v>
      </c>
      <c r="I1486" s="211">
        <v>3.5840909090909099</v>
      </c>
      <c r="J1486" s="211">
        <v>6.3966062548803304E-3</v>
      </c>
      <c r="K1486" s="288">
        <v>6.3710198298608098</v>
      </c>
    </row>
    <row r="1487" spans="2:11" x14ac:dyDescent="0.2">
      <c r="B1487">
        <v>20</v>
      </c>
      <c r="C1487">
        <v>4431</v>
      </c>
      <c r="D1487" s="308" t="s">
        <v>2059</v>
      </c>
      <c r="E1487" s="291">
        <v>3065</v>
      </c>
      <c r="F1487" s="291">
        <v>1382</v>
      </c>
      <c r="G1487" s="291">
        <v>1190</v>
      </c>
      <c r="H1487" s="287">
        <v>0.45089722675367</v>
      </c>
      <c r="I1487" s="211">
        <v>3.73697478991597</v>
      </c>
      <c r="J1487" s="211">
        <v>-7.30800770063392E-2</v>
      </c>
      <c r="K1487" s="288">
        <v>-223.99043602443001</v>
      </c>
    </row>
    <row r="1488" spans="2:11" x14ac:dyDescent="0.2">
      <c r="B1488">
        <v>20</v>
      </c>
      <c r="C1488">
        <v>4436</v>
      </c>
      <c r="D1488" s="308" t="s">
        <v>2060</v>
      </c>
      <c r="E1488" s="291">
        <v>10803</v>
      </c>
      <c r="F1488" s="291">
        <v>5633</v>
      </c>
      <c r="G1488" s="291">
        <v>855</v>
      </c>
      <c r="H1488" s="287">
        <v>0.52142923262056795</v>
      </c>
      <c r="I1488" s="211">
        <v>19.223391812865501</v>
      </c>
      <c r="J1488" s="211">
        <v>0.87501062213899405</v>
      </c>
      <c r="K1488" s="288">
        <v>9452.7397509675502</v>
      </c>
    </row>
    <row r="1489" spans="2:11" x14ac:dyDescent="0.2">
      <c r="B1489">
        <v>20</v>
      </c>
      <c r="C1489">
        <v>4441</v>
      </c>
      <c r="D1489" s="308" t="s">
        <v>2061</v>
      </c>
      <c r="E1489" s="291">
        <v>1457</v>
      </c>
      <c r="F1489" s="291">
        <v>371</v>
      </c>
      <c r="G1489" s="291">
        <v>263</v>
      </c>
      <c r="H1489" s="287">
        <v>0.254632807137955</v>
      </c>
      <c r="I1489" s="211">
        <v>6.95057034220532</v>
      </c>
      <c r="J1489" s="211">
        <v>-0.26047604576293298</v>
      </c>
      <c r="K1489" s="288">
        <v>-379.51359867659397</v>
      </c>
    </row>
    <row r="1490" spans="2:11" x14ac:dyDescent="0.2">
      <c r="B1490">
        <v>20</v>
      </c>
      <c r="C1490">
        <v>4446</v>
      </c>
      <c r="D1490" s="308" t="s">
        <v>2062</v>
      </c>
      <c r="E1490" s="291">
        <v>549</v>
      </c>
      <c r="F1490" s="291">
        <v>507</v>
      </c>
      <c r="G1490" s="291">
        <v>421</v>
      </c>
      <c r="H1490" s="287">
        <v>0.92349726775956298</v>
      </c>
      <c r="I1490" s="211">
        <v>2.5083135391923999</v>
      </c>
      <c r="J1490" s="211">
        <v>0.37158596843754099</v>
      </c>
      <c r="K1490" s="288">
        <v>204.00069667221001</v>
      </c>
    </row>
    <row r="1491" spans="2:11" x14ac:dyDescent="0.2">
      <c r="B1491">
        <v>20</v>
      </c>
      <c r="C1491">
        <v>4451</v>
      </c>
      <c r="D1491" s="308" t="s">
        <v>2063</v>
      </c>
      <c r="E1491" s="291">
        <v>1858</v>
      </c>
      <c r="F1491" s="291">
        <v>367</v>
      </c>
      <c r="G1491" s="291">
        <v>432</v>
      </c>
      <c r="H1491" s="287">
        <v>0.19752421959095801</v>
      </c>
      <c r="I1491" s="211">
        <v>5.1504629629629601</v>
      </c>
      <c r="J1491" s="211">
        <v>-0.38159824852611202</v>
      </c>
      <c r="K1491" s="288">
        <v>-709.00954576151503</v>
      </c>
    </row>
    <row r="1492" spans="2:11" x14ac:dyDescent="0.2">
      <c r="B1492">
        <v>20</v>
      </c>
      <c r="C1492">
        <v>4461</v>
      </c>
      <c r="D1492" s="308" t="s">
        <v>2064</v>
      </c>
      <c r="E1492" s="291">
        <v>13346</v>
      </c>
      <c r="F1492" s="291">
        <v>5751</v>
      </c>
      <c r="G1492" s="291">
        <v>1891</v>
      </c>
      <c r="H1492" s="287">
        <v>0.43091563015135598</v>
      </c>
      <c r="I1492" s="211">
        <v>10.0988894764675</v>
      </c>
      <c r="J1492" s="211">
        <v>0.52710675874948298</v>
      </c>
      <c r="K1492" s="288">
        <v>7034.7668022706002</v>
      </c>
    </row>
    <row r="1493" spans="2:11" x14ac:dyDescent="0.2">
      <c r="B1493">
        <v>20</v>
      </c>
      <c r="C1493">
        <v>4471</v>
      </c>
      <c r="D1493" s="308" t="s">
        <v>2065</v>
      </c>
      <c r="E1493" s="291">
        <v>5947</v>
      </c>
      <c r="F1493" s="291">
        <v>3052</v>
      </c>
      <c r="G1493" s="291">
        <v>1118</v>
      </c>
      <c r="H1493" s="287">
        <v>0.51319993273919595</v>
      </c>
      <c r="I1493" s="211">
        <v>8.0491949910554599</v>
      </c>
      <c r="J1493" s="211">
        <v>0.27157512936532002</v>
      </c>
      <c r="K1493" s="288">
        <v>1615.0572943355601</v>
      </c>
    </row>
    <row r="1494" spans="2:11" x14ac:dyDescent="0.2">
      <c r="B1494">
        <v>20</v>
      </c>
      <c r="C1494">
        <v>4476</v>
      </c>
      <c r="D1494" s="308" t="s">
        <v>2066</v>
      </c>
      <c r="E1494" s="291">
        <v>3649</v>
      </c>
      <c r="F1494" s="291">
        <v>1370</v>
      </c>
      <c r="G1494" s="291">
        <v>1212</v>
      </c>
      <c r="H1494" s="287">
        <v>0.375445327486983</v>
      </c>
      <c r="I1494" s="211">
        <v>4.1410891089108901</v>
      </c>
      <c r="J1494" s="211">
        <v>-0.12951884181712101</v>
      </c>
      <c r="K1494" s="288">
        <v>-472.61425379067401</v>
      </c>
    </row>
    <row r="1495" spans="2:11" x14ac:dyDescent="0.2">
      <c r="B1495">
        <v>20</v>
      </c>
      <c r="C1495">
        <v>4486</v>
      </c>
      <c r="D1495" s="308" t="s">
        <v>2067</v>
      </c>
      <c r="E1495" s="291">
        <v>1920</v>
      </c>
      <c r="F1495" s="291">
        <v>705</v>
      </c>
      <c r="G1495" s="291">
        <v>1200</v>
      </c>
      <c r="H1495" s="287">
        <v>0.3671875</v>
      </c>
      <c r="I1495" s="211">
        <v>2.1875</v>
      </c>
      <c r="J1495" s="211">
        <v>-0.27709291638434003</v>
      </c>
      <c r="K1495" s="288">
        <v>-532.01839945793199</v>
      </c>
    </row>
    <row r="1496" spans="2:11" x14ac:dyDescent="0.2">
      <c r="B1496">
        <v>20</v>
      </c>
      <c r="C1496">
        <v>4495</v>
      </c>
      <c r="D1496" s="308" t="s">
        <v>2068</v>
      </c>
      <c r="E1496" s="291">
        <v>598</v>
      </c>
      <c r="F1496" s="291">
        <v>254</v>
      </c>
      <c r="G1496" s="291">
        <v>790</v>
      </c>
      <c r="H1496" s="287">
        <v>0.42474916387959899</v>
      </c>
      <c r="I1496" s="211">
        <v>1.07848101265823</v>
      </c>
      <c r="J1496" s="211">
        <v>-0.29674026930907799</v>
      </c>
      <c r="K1496" s="288">
        <v>-177.450681046829</v>
      </c>
    </row>
    <row r="1497" spans="2:11" x14ac:dyDescent="0.2">
      <c r="B1497">
        <v>20</v>
      </c>
      <c r="C1497">
        <v>4501</v>
      </c>
      <c r="D1497" s="308" t="s">
        <v>2069</v>
      </c>
      <c r="E1497" s="291">
        <v>3535</v>
      </c>
      <c r="F1497" s="291">
        <v>1134</v>
      </c>
      <c r="G1497" s="291">
        <v>1059</v>
      </c>
      <c r="H1497" s="287">
        <v>0.32079207920792102</v>
      </c>
      <c r="I1497" s="211">
        <v>4.4088762983947101</v>
      </c>
      <c r="J1497" s="211">
        <v>-0.191828796879077</v>
      </c>
      <c r="K1497" s="288">
        <v>-678.11479696753599</v>
      </c>
    </row>
    <row r="1498" spans="2:11" x14ac:dyDescent="0.2">
      <c r="B1498">
        <v>20</v>
      </c>
      <c r="C1498">
        <v>4506</v>
      </c>
      <c r="D1498" s="308" t="s">
        <v>2070</v>
      </c>
      <c r="E1498" s="291">
        <v>3741</v>
      </c>
      <c r="F1498" s="291">
        <v>2323</v>
      </c>
      <c r="G1498" s="291">
        <v>896</v>
      </c>
      <c r="H1498" s="287">
        <v>0.62095696337877604</v>
      </c>
      <c r="I1498" s="211">
        <v>6.7678571428571397</v>
      </c>
      <c r="J1498" s="211">
        <v>0.27406381546925401</v>
      </c>
      <c r="K1498" s="288">
        <v>1025.27273367048</v>
      </c>
    </row>
    <row r="1499" spans="2:11" x14ac:dyDescent="0.2">
      <c r="B1499">
        <v>20</v>
      </c>
      <c r="C1499">
        <v>4511</v>
      </c>
      <c r="D1499" s="308" t="s">
        <v>2071</v>
      </c>
      <c r="E1499" s="291">
        <v>2281</v>
      </c>
      <c r="F1499" s="291">
        <v>1258</v>
      </c>
      <c r="G1499" s="291">
        <v>1207</v>
      </c>
      <c r="H1499" s="287">
        <v>0.55151249451994699</v>
      </c>
      <c r="I1499" s="211">
        <v>2.9320629660314799</v>
      </c>
      <c r="J1499" s="211">
        <v>-7.7248408879182998E-3</v>
      </c>
      <c r="K1499" s="288">
        <v>-17.620362065341599</v>
      </c>
    </row>
    <row r="1500" spans="2:11" x14ac:dyDescent="0.2">
      <c r="B1500">
        <v>20</v>
      </c>
      <c r="C1500">
        <v>4536</v>
      </c>
      <c r="D1500" s="308" t="s">
        <v>2072</v>
      </c>
      <c r="E1500" s="291">
        <v>1815</v>
      </c>
      <c r="F1500" s="291">
        <v>668</v>
      </c>
      <c r="G1500" s="291">
        <v>1552</v>
      </c>
      <c r="H1500" s="287">
        <v>0.36804407713498599</v>
      </c>
      <c r="I1500" s="211">
        <v>1.59987113402062</v>
      </c>
      <c r="J1500" s="211">
        <v>-0.30148323031533297</v>
      </c>
      <c r="K1500" s="288">
        <v>-547.19206302232999</v>
      </c>
    </row>
    <row r="1501" spans="2:11" x14ac:dyDescent="0.2">
      <c r="B1501">
        <v>20</v>
      </c>
      <c r="C1501">
        <v>4545</v>
      </c>
      <c r="D1501" s="308" t="s">
        <v>2073</v>
      </c>
      <c r="E1501" s="291">
        <v>3767</v>
      </c>
      <c r="F1501" s="291">
        <v>1740</v>
      </c>
      <c r="G1501" s="291">
        <v>948</v>
      </c>
      <c r="H1501" s="287">
        <v>0.46190602601539699</v>
      </c>
      <c r="I1501" s="211">
        <v>5.8090717299578101</v>
      </c>
      <c r="J1501" s="211">
        <v>4.2985560428175099E-2</v>
      </c>
      <c r="K1501" s="288">
        <v>161.92660613293501</v>
      </c>
    </row>
    <row r="1502" spans="2:11" x14ac:dyDescent="0.2">
      <c r="B1502">
        <v>20</v>
      </c>
      <c r="C1502">
        <v>4546</v>
      </c>
      <c r="D1502" s="308" t="s">
        <v>2074</v>
      </c>
      <c r="E1502" s="291">
        <v>1665</v>
      </c>
      <c r="F1502" s="291">
        <v>521</v>
      </c>
      <c r="G1502" s="291">
        <v>1498</v>
      </c>
      <c r="H1502" s="287">
        <v>0.31291291291291301</v>
      </c>
      <c r="I1502" s="211">
        <v>1.4592790387182899</v>
      </c>
      <c r="J1502" s="211">
        <v>-0.38066074427649399</v>
      </c>
      <c r="K1502" s="288">
        <v>-633.80013922036198</v>
      </c>
    </row>
    <row r="1503" spans="2:11" x14ac:dyDescent="0.2">
      <c r="B1503">
        <v>20</v>
      </c>
      <c r="C1503">
        <v>4551</v>
      </c>
      <c r="D1503" s="308" t="s">
        <v>2075</v>
      </c>
      <c r="E1503" s="291">
        <v>8865</v>
      </c>
      <c r="F1503" s="291">
        <v>3509</v>
      </c>
      <c r="G1503" s="291">
        <v>1983</v>
      </c>
      <c r="H1503" s="287">
        <v>0.39582628313592799</v>
      </c>
      <c r="I1503" s="211">
        <v>6.2400403429147797</v>
      </c>
      <c r="J1503" s="211">
        <v>0.171617765543364</v>
      </c>
      <c r="K1503" s="288">
        <v>1521.39149154192</v>
      </c>
    </row>
    <row r="1504" spans="2:11" x14ac:dyDescent="0.2">
      <c r="B1504">
        <v>20</v>
      </c>
      <c r="C1504">
        <v>4561</v>
      </c>
      <c r="D1504" s="308" t="s">
        <v>2076</v>
      </c>
      <c r="E1504" s="291">
        <v>2749</v>
      </c>
      <c r="F1504" s="291">
        <v>873</v>
      </c>
      <c r="G1504" s="291">
        <v>715</v>
      </c>
      <c r="H1504" s="287">
        <v>0.31757002546380497</v>
      </c>
      <c r="I1504" s="211">
        <v>5.0657342657342701</v>
      </c>
      <c r="J1504" s="211">
        <v>-0.20188849616636301</v>
      </c>
      <c r="K1504" s="288">
        <v>-554.99147596133105</v>
      </c>
    </row>
    <row r="1505" spans="2:11" x14ac:dyDescent="0.2">
      <c r="B1505">
        <v>20</v>
      </c>
      <c r="C1505">
        <v>4566</v>
      </c>
      <c r="D1505" s="308" t="s">
        <v>2077</v>
      </c>
      <c r="E1505" s="291">
        <v>25200</v>
      </c>
      <c r="F1505" s="291">
        <v>20096</v>
      </c>
      <c r="G1505" s="291">
        <v>2667</v>
      </c>
      <c r="H1505" s="287">
        <v>0.79746031746031698</v>
      </c>
      <c r="I1505" s="211">
        <v>16.9838770153731</v>
      </c>
      <c r="J1505" s="211">
        <v>1.6854510236520699</v>
      </c>
      <c r="K1505" s="288">
        <v>42473.365796031998</v>
      </c>
    </row>
    <row r="1506" spans="2:11" x14ac:dyDescent="0.2">
      <c r="B1506">
        <v>20</v>
      </c>
      <c r="C1506">
        <v>4571</v>
      </c>
      <c r="D1506" s="308" t="s">
        <v>2078</v>
      </c>
      <c r="E1506" s="291">
        <v>4225</v>
      </c>
      <c r="F1506" s="291">
        <v>1351</v>
      </c>
      <c r="G1506" s="291">
        <v>973</v>
      </c>
      <c r="H1506" s="287">
        <v>0.31976331360946703</v>
      </c>
      <c r="I1506" s="211">
        <v>5.7307297019527201</v>
      </c>
      <c r="J1506" s="211">
        <v>-0.118510980702679</v>
      </c>
      <c r="K1506" s="288">
        <v>-500.70889346882001</v>
      </c>
    </row>
    <row r="1507" spans="2:11" x14ac:dyDescent="0.2">
      <c r="B1507">
        <v>20</v>
      </c>
      <c r="C1507">
        <v>4590</v>
      </c>
      <c r="D1507" s="308" t="s">
        <v>2079</v>
      </c>
      <c r="E1507" s="291">
        <v>840</v>
      </c>
      <c r="F1507" s="291">
        <v>282</v>
      </c>
      <c r="G1507" s="291">
        <v>1142</v>
      </c>
      <c r="H1507" s="287">
        <v>0.33571428571428602</v>
      </c>
      <c r="I1507" s="211">
        <v>0.98248686514886197</v>
      </c>
      <c r="J1507" s="211">
        <v>-0.401324772819312</v>
      </c>
      <c r="K1507" s="288">
        <v>-337.11280916822199</v>
      </c>
    </row>
    <row r="1508" spans="2:11" x14ac:dyDescent="0.2">
      <c r="B1508">
        <v>20</v>
      </c>
      <c r="C1508">
        <v>4591</v>
      </c>
      <c r="D1508" s="308" t="s">
        <v>2080</v>
      </c>
      <c r="E1508" s="291">
        <v>2692</v>
      </c>
      <c r="F1508" s="291">
        <v>1063</v>
      </c>
      <c r="G1508" s="291">
        <v>762</v>
      </c>
      <c r="H1508" s="287">
        <v>0.39487369985141202</v>
      </c>
      <c r="I1508" s="211">
        <v>4.9278215223097099</v>
      </c>
      <c r="J1508" s="211">
        <v>-0.113306268679931</v>
      </c>
      <c r="K1508" s="288">
        <v>-305.02047528637502</v>
      </c>
    </row>
    <row r="1509" spans="2:11" x14ac:dyDescent="0.2">
      <c r="B1509">
        <v>20</v>
      </c>
      <c r="C1509">
        <v>4601</v>
      </c>
      <c r="D1509" s="308" t="s">
        <v>2081</v>
      </c>
      <c r="E1509" s="291">
        <v>995</v>
      </c>
      <c r="F1509" s="291">
        <v>329</v>
      </c>
      <c r="G1509" s="291">
        <v>1098</v>
      </c>
      <c r="H1509" s="287">
        <v>0.33065326633165798</v>
      </c>
      <c r="I1509" s="211">
        <v>1.2058287795992699</v>
      </c>
      <c r="J1509" s="211">
        <v>-0.39352506341431998</v>
      </c>
      <c r="K1509" s="288">
        <v>-391.557438097248</v>
      </c>
    </row>
    <row r="1510" spans="2:11" x14ac:dyDescent="0.2">
      <c r="B1510">
        <v>20</v>
      </c>
      <c r="C1510">
        <v>4606</v>
      </c>
      <c r="D1510" s="308" t="s">
        <v>2082</v>
      </c>
      <c r="E1510" s="291">
        <v>1196</v>
      </c>
      <c r="F1510" s="291">
        <v>394</v>
      </c>
      <c r="G1510" s="291">
        <v>628</v>
      </c>
      <c r="H1510" s="287">
        <v>0.32943143812709003</v>
      </c>
      <c r="I1510" s="211">
        <v>2.5318471337579598</v>
      </c>
      <c r="J1510" s="211">
        <v>-0.33897895500970399</v>
      </c>
      <c r="K1510" s="288">
        <v>-405.41883019160502</v>
      </c>
    </row>
    <row r="1511" spans="2:11" x14ac:dyDescent="0.2">
      <c r="B1511">
        <v>20</v>
      </c>
      <c r="C1511">
        <v>4611</v>
      </c>
      <c r="D1511" s="308" t="s">
        <v>2083</v>
      </c>
      <c r="E1511" s="291">
        <v>1462</v>
      </c>
      <c r="F1511" s="291">
        <v>382</v>
      </c>
      <c r="G1511" s="291">
        <v>1555</v>
      </c>
      <c r="H1511" s="287">
        <v>0.26128590971272198</v>
      </c>
      <c r="I1511" s="211">
        <v>1.1858520900321501</v>
      </c>
      <c r="J1511" s="211">
        <v>-0.46236763619300503</v>
      </c>
      <c r="K1511" s="288">
        <v>-675.98148411417299</v>
      </c>
    </row>
    <row r="1512" spans="2:11" x14ac:dyDescent="0.2">
      <c r="B1512">
        <v>20</v>
      </c>
      <c r="C1512">
        <v>4616</v>
      </c>
      <c r="D1512" s="308" t="s">
        <v>2084</v>
      </c>
      <c r="E1512" s="291">
        <v>1079</v>
      </c>
      <c r="F1512" s="291">
        <v>420</v>
      </c>
      <c r="G1512" s="291">
        <v>1345</v>
      </c>
      <c r="H1512" s="287">
        <v>0.38924930491195597</v>
      </c>
      <c r="I1512" s="211">
        <v>1.1144981412639401</v>
      </c>
      <c r="J1512" s="211">
        <v>-0.32103757470571898</v>
      </c>
      <c r="K1512" s="288">
        <v>-346.399543107471</v>
      </c>
    </row>
    <row r="1513" spans="2:11" x14ac:dyDescent="0.2">
      <c r="B1513">
        <v>20</v>
      </c>
      <c r="C1513">
        <v>4621</v>
      </c>
      <c r="D1513" s="308" t="s">
        <v>2085</v>
      </c>
      <c r="E1513" s="291">
        <v>1260</v>
      </c>
      <c r="F1513" s="291">
        <v>585</v>
      </c>
      <c r="G1513" s="291">
        <v>776</v>
      </c>
      <c r="H1513" s="287">
        <v>0.46428571428571402</v>
      </c>
      <c r="I1513" s="211">
        <v>2.3775773195876302</v>
      </c>
      <c r="J1513" s="211">
        <v>-0.17505553031616</v>
      </c>
      <c r="K1513" s="288">
        <v>-220.56996819836101</v>
      </c>
    </row>
    <row r="1514" spans="2:11" x14ac:dyDescent="0.2">
      <c r="B1514">
        <v>20</v>
      </c>
      <c r="C1514">
        <v>4641</v>
      </c>
      <c r="D1514" s="308" t="s">
        <v>2086</v>
      </c>
      <c r="E1514" s="291">
        <v>2161</v>
      </c>
      <c r="F1514" s="291">
        <v>783</v>
      </c>
      <c r="G1514" s="291">
        <v>662</v>
      </c>
      <c r="H1514" s="287">
        <v>0.362332253586303</v>
      </c>
      <c r="I1514" s="211">
        <v>4.4471299093655601</v>
      </c>
      <c r="J1514" s="211">
        <v>-0.19145782232375699</v>
      </c>
      <c r="K1514" s="288">
        <v>-413.740354041638</v>
      </c>
    </row>
    <row r="1515" spans="2:11" x14ac:dyDescent="0.2">
      <c r="B1515">
        <v>20</v>
      </c>
      <c r="C1515">
        <v>4643</v>
      </c>
      <c r="D1515" s="308" t="s">
        <v>2087</v>
      </c>
      <c r="E1515" s="291">
        <v>2188</v>
      </c>
      <c r="F1515" s="291">
        <v>858</v>
      </c>
      <c r="G1515" s="291">
        <v>237</v>
      </c>
      <c r="H1515" s="287">
        <v>0.392138939670932</v>
      </c>
      <c r="I1515" s="211">
        <v>12.852320675105499</v>
      </c>
      <c r="J1515" s="211">
        <v>0.153174313591875</v>
      </c>
      <c r="K1515" s="288">
        <v>335.14539813902297</v>
      </c>
    </row>
    <row r="1516" spans="2:11" x14ac:dyDescent="0.2">
      <c r="B1516">
        <v>20</v>
      </c>
      <c r="C1516">
        <v>4646</v>
      </c>
      <c r="D1516" s="308" t="s">
        <v>2088</v>
      </c>
      <c r="E1516" s="291">
        <v>3308</v>
      </c>
      <c r="F1516" s="291">
        <v>1175</v>
      </c>
      <c r="G1516" s="291">
        <v>1008</v>
      </c>
      <c r="H1516" s="287">
        <v>0.35519951632406299</v>
      </c>
      <c r="I1516" s="211">
        <v>4.4474206349206398</v>
      </c>
      <c r="J1516" s="211">
        <v>-0.156459585924525</v>
      </c>
      <c r="K1516" s="288">
        <v>-517.56831023832899</v>
      </c>
    </row>
    <row r="1517" spans="2:11" x14ac:dyDescent="0.2">
      <c r="B1517">
        <v>20</v>
      </c>
      <c r="C1517">
        <v>4651</v>
      </c>
      <c r="D1517" s="308" t="s">
        <v>2089</v>
      </c>
      <c r="E1517" s="291">
        <v>326</v>
      </c>
      <c r="F1517" s="291">
        <v>152</v>
      </c>
      <c r="G1517" s="291">
        <v>25</v>
      </c>
      <c r="H1517" s="287">
        <v>0.46625766871165603</v>
      </c>
      <c r="I1517" s="211">
        <v>19.12</v>
      </c>
      <c r="J1517" s="211">
        <v>0.40255111470883997</v>
      </c>
      <c r="K1517" s="288">
        <v>131.23166339508199</v>
      </c>
    </row>
    <row r="1518" spans="2:11" x14ac:dyDescent="0.2">
      <c r="B1518">
        <v>20</v>
      </c>
      <c r="C1518">
        <v>4656</v>
      </c>
      <c r="D1518" s="308" t="s">
        <v>2090</v>
      </c>
      <c r="E1518" s="291">
        <v>1568</v>
      </c>
      <c r="F1518" s="291">
        <v>632</v>
      </c>
      <c r="G1518" s="291">
        <v>950</v>
      </c>
      <c r="H1518" s="287">
        <v>0.40306122448979598</v>
      </c>
      <c r="I1518" s="211">
        <v>2.3157894736842102</v>
      </c>
      <c r="J1518" s="211">
        <v>-0.24140854869515099</v>
      </c>
      <c r="K1518" s="288">
        <v>-378.52860435399703</v>
      </c>
    </row>
    <row r="1519" spans="2:11" x14ac:dyDescent="0.2">
      <c r="B1519">
        <v>20</v>
      </c>
      <c r="C1519">
        <v>4666</v>
      </c>
      <c r="D1519" s="308" t="s">
        <v>2091</v>
      </c>
      <c r="E1519" s="291">
        <v>2465</v>
      </c>
      <c r="F1519" s="291">
        <v>747</v>
      </c>
      <c r="G1519" s="291">
        <v>2482</v>
      </c>
      <c r="H1519" s="287">
        <v>0.30304259634888397</v>
      </c>
      <c r="I1519" s="211">
        <v>1.29411764705882</v>
      </c>
      <c r="J1519" s="211">
        <v>-0.36835005824141998</v>
      </c>
      <c r="K1519" s="288">
        <v>-907.98289356509895</v>
      </c>
    </row>
    <row r="1520" spans="2:11" x14ac:dyDescent="0.2">
      <c r="B1520">
        <v>20</v>
      </c>
      <c r="C1520">
        <v>4671</v>
      </c>
      <c r="D1520" s="308" t="s">
        <v>2092</v>
      </c>
      <c r="E1520" s="291">
        <v>21560</v>
      </c>
      <c r="F1520" s="291">
        <v>11609</v>
      </c>
      <c r="G1520" s="291">
        <v>1114</v>
      </c>
      <c r="H1520" s="287">
        <v>0.53845083487940604</v>
      </c>
      <c r="I1520" s="211">
        <v>29.774685816876101</v>
      </c>
      <c r="J1520" s="211">
        <v>1.69208856367703</v>
      </c>
      <c r="K1520" s="288">
        <v>36481.429432876699</v>
      </c>
    </row>
    <row r="1521" spans="2:11" x14ac:dyDescent="0.2">
      <c r="B1521">
        <v>20</v>
      </c>
      <c r="C1521">
        <v>4681</v>
      </c>
      <c r="D1521" s="308" t="s">
        <v>2093</v>
      </c>
      <c r="E1521" s="291">
        <v>1285</v>
      </c>
      <c r="F1521" s="291">
        <v>351</v>
      </c>
      <c r="G1521" s="291">
        <v>1080</v>
      </c>
      <c r="H1521" s="287">
        <v>0.27315175097276301</v>
      </c>
      <c r="I1521" s="211">
        <v>1.51481481481481</v>
      </c>
      <c r="J1521" s="211">
        <v>-0.44242471494081897</v>
      </c>
      <c r="K1521" s="288">
        <v>-568.51575869895203</v>
      </c>
    </row>
    <row r="1522" spans="2:11" x14ac:dyDescent="0.2">
      <c r="B1522">
        <v>20</v>
      </c>
      <c r="C1522">
        <v>4683</v>
      </c>
      <c r="D1522" s="308" t="s">
        <v>2094</v>
      </c>
      <c r="E1522" s="291">
        <v>1686</v>
      </c>
      <c r="F1522" s="291">
        <v>855</v>
      </c>
      <c r="G1522" s="291">
        <v>878</v>
      </c>
      <c r="H1522" s="287">
        <v>0.50711743772242002</v>
      </c>
      <c r="I1522" s="211">
        <v>2.8940774487471499</v>
      </c>
      <c r="J1522" s="211">
        <v>-8.68581473808651E-2</v>
      </c>
      <c r="K1522" s="288">
        <v>-146.44283648413801</v>
      </c>
    </row>
    <row r="1523" spans="2:11" x14ac:dyDescent="0.2">
      <c r="B1523">
        <v>20</v>
      </c>
      <c r="C1523">
        <v>4691</v>
      </c>
      <c r="D1523" s="308" t="s">
        <v>2095</v>
      </c>
      <c r="E1523" s="291">
        <v>3333</v>
      </c>
      <c r="F1523" s="291">
        <v>3004</v>
      </c>
      <c r="G1523" s="291">
        <v>541</v>
      </c>
      <c r="H1523" s="287">
        <v>0.90129012901290095</v>
      </c>
      <c r="I1523" s="211">
        <v>11.7134935304991</v>
      </c>
      <c r="J1523" s="211">
        <v>0.78629571522838204</v>
      </c>
      <c r="K1523" s="288">
        <v>2620.7236188562001</v>
      </c>
    </row>
    <row r="1524" spans="2:11" x14ac:dyDescent="0.2">
      <c r="B1524">
        <v>20</v>
      </c>
      <c r="C1524">
        <v>4696</v>
      </c>
      <c r="D1524" s="308" t="s">
        <v>2096</v>
      </c>
      <c r="E1524" s="291">
        <v>4524</v>
      </c>
      <c r="F1524" s="291">
        <v>3285</v>
      </c>
      <c r="G1524" s="291">
        <v>1139</v>
      </c>
      <c r="H1524" s="287">
        <v>0.72612732095490695</v>
      </c>
      <c r="I1524" s="211">
        <v>6.8560140474100102</v>
      </c>
      <c r="J1524" s="211">
        <v>0.43752158941907998</v>
      </c>
      <c r="K1524" s="288">
        <v>1979.3476705319199</v>
      </c>
    </row>
    <row r="1525" spans="2:11" x14ac:dyDescent="0.2">
      <c r="B1525">
        <v>20</v>
      </c>
      <c r="C1525">
        <v>4701</v>
      </c>
      <c r="D1525" s="308" t="s">
        <v>2097</v>
      </c>
      <c r="E1525" s="291">
        <v>1049</v>
      </c>
      <c r="F1525" s="291">
        <v>468</v>
      </c>
      <c r="G1525" s="291">
        <v>1218</v>
      </c>
      <c r="H1525" s="287">
        <v>0.44613918017159199</v>
      </c>
      <c r="I1525" s="211">
        <v>1.24548440065681</v>
      </c>
      <c r="J1525" s="211">
        <v>-0.24690890447549399</v>
      </c>
      <c r="K1525" s="288">
        <v>-259.00744079479301</v>
      </c>
    </row>
    <row r="1526" spans="2:11" x14ac:dyDescent="0.2">
      <c r="B1526">
        <v>20</v>
      </c>
      <c r="C1526">
        <v>4711</v>
      </c>
      <c r="D1526" s="308" t="s">
        <v>2098</v>
      </c>
      <c r="E1526" s="291">
        <v>2520</v>
      </c>
      <c r="F1526" s="291">
        <v>1219</v>
      </c>
      <c r="G1526" s="291">
        <v>1415</v>
      </c>
      <c r="H1526" s="287">
        <v>0.48373015873015901</v>
      </c>
      <c r="I1526" s="211">
        <v>2.6424028268551201</v>
      </c>
      <c r="J1526" s="211">
        <v>-9.3154527518906793E-2</v>
      </c>
      <c r="K1526" s="288">
        <v>-234.74940934764501</v>
      </c>
    </row>
    <row r="1527" spans="2:11" x14ac:dyDescent="0.2">
      <c r="B1527">
        <v>20</v>
      </c>
      <c r="C1527">
        <v>4716</v>
      </c>
      <c r="D1527" s="308" t="s">
        <v>2099</v>
      </c>
      <c r="E1527" s="291">
        <v>1177</v>
      </c>
      <c r="F1527" s="291">
        <v>256</v>
      </c>
      <c r="G1527" s="291">
        <v>386</v>
      </c>
      <c r="H1527" s="287">
        <v>0.21750212404418001</v>
      </c>
      <c r="I1527" s="211">
        <v>3.7124352331606199</v>
      </c>
      <c r="J1527" s="211">
        <v>-0.43532972999752201</v>
      </c>
      <c r="K1527" s="288">
        <v>-512.383092207083</v>
      </c>
    </row>
    <row r="1528" spans="2:11" x14ac:dyDescent="0.2">
      <c r="B1528">
        <v>20</v>
      </c>
      <c r="C1528">
        <v>4721</v>
      </c>
      <c r="D1528" s="308" t="s">
        <v>2100</v>
      </c>
      <c r="E1528" s="291">
        <v>2826</v>
      </c>
      <c r="F1528" s="291">
        <v>1025</v>
      </c>
      <c r="G1528" s="291">
        <v>1189</v>
      </c>
      <c r="H1528" s="287">
        <v>0.36270346779900903</v>
      </c>
      <c r="I1528" s="211">
        <v>3.2388561816652599</v>
      </c>
      <c r="J1528" s="211">
        <v>-0.209672643735967</v>
      </c>
      <c r="K1528" s="288">
        <v>-592.53489119784399</v>
      </c>
    </row>
    <row r="1529" spans="2:11" x14ac:dyDescent="0.2">
      <c r="B1529">
        <v>20</v>
      </c>
      <c r="C1529">
        <v>4723</v>
      </c>
      <c r="D1529" s="308" t="s">
        <v>2101</v>
      </c>
      <c r="E1529" s="291">
        <v>763</v>
      </c>
      <c r="F1529" s="291">
        <v>271</v>
      </c>
      <c r="G1529" s="291">
        <v>912</v>
      </c>
      <c r="H1529" s="287">
        <v>0.35517693315858501</v>
      </c>
      <c r="I1529" s="211">
        <v>1.1337719298245601</v>
      </c>
      <c r="J1529" s="211">
        <v>-0.37462982050001697</v>
      </c>
      <c r="K1529" s="288">
        <v>-285.84255304151299</v>
      </c>
    </row>
    <row r="1530" spans="2:11" x14ac:dyDescent="0.2">
      <c r="B1530">
        <v>20</v>
      </c>
      <c r="C1530">
        <v>4724</v>
      </c>
      <c r="D1530" s="308" t="s">
        <v>2102</v>
      </c>
      <c r="E1530" s="291">
        <v>4309</v>
      </c>
      <c r="F1530" s="291">
        <v>1671</v>
      </c>
      <c r="G1530" s="291">
        <v>617</v>
      </c>
      <c r="H1530" s="287">
        <v>0.38779299141332102</v>
      </c>
      <c r="I1530" s="211">
        <v>9.6920583468395503</v>
      </c>
      <c r="J1530" s="211">
        <v>0.113528437999111</v>
      </c>
      <c r="K1530" s="288">
        <v>489.19403933816801</v>
      </c>
    </row>
    <row r="1531" spans="2:11" x14ac:dyDescent="0.2">
      <c r="B1531">
        <v>20</v>
      </c>
      <c r="C1531">
        <v>4726</v>
      </c>
      <c r="D1531" s="308" t="s">
        <v>2103</v>
      </c>
      <c r="E1531" s="291">
        <v>2686</v>
      </c>
      <c r="F1531" s="291">
        <v>1404</v>
      </c>
      <c r="G1531" s="291">
        <v>3043</v>
      </c>
      <c r="H1531" s="287">
        <v>0.52271034996276999</v>
      </c>
      <c r="I1531" s="211">
        <v>1.3440683535984199</v>
      </c>
      <c r="J1531" s="211">
        <v>-8.5878898773245102E-2</v>
      </c>
      <c r="K1531" s="288">
        <v>-230.670722104936</v>
      </c>
    </row>
    <row r="1532" spans="2:11" x14ac:dyDescent="0.2">
      <c r="B1532">
        <v>20</v>
      </c>
      <c r="C1532">
        <v>4741</v>
      </c>
      <c r="D1532" s="308" t="s">
        <v>2104</v>
      </c>
      <c r="E1532" s="291">
        <v>1217</v>
      </c>
      <c r="F1532" s="291">
        <v>427</v>
      </c>
      <c r="G1532" s="291">
        <v>843</v>
      </c>
      <c r="H1532" s="287">
        <v>0.35086277732128202</v>
      </c>
      <c r="I1532" s="211">
        <v>1.95017793594306</v>
      </c>
      <c r="J1532" s="211">
        <v>-0.33284192855435601</v>
      </c>
      <c r="K1532" s="288">
        <v>-405.06862705065203</v>
      </c>
    </row>
    <row r="1533" spans="2:11" x14ac:dyDescent="0.2">
      <c r="B1533">
        <v>20</v>
      </c>
      <c r="C1533">
        <v>4746</v>
      </c>
      <c r="D1533" s="308" t="s">
        <v>2105</v>
      </c>
      <c r="E1533" s="291">
        <v>5377</v>
      </c>
      <c r="F1533" s="291">
        <v>2412</v>
      </c>
      <c r="G1533" s="291">
        <v>775</v>
      </c>
      <c r="H1533" s="287">
        <v>0.448577273572624</v>
      </c>
      <c r="I1533" s="211">
        <v>10.050322580645201</v>
      </c>
      <c r="J1533" s="211">
        <v>0.24272919851402999</v>
      </c>
      <c r="K1533" s="288">
        <v>1305.15490040994</v>
      </c>
    </row>
    <row r="1534" spans="2:11" x14ac:dyDescent="0.2">
      <c r="B1534">
        <v>20</v>
      </c>
      <c r="C1534">
        <v>4751</v>
      </c>
      <c r="D1534" s="308" t="s">
        <v>2106</v>
      </c>
      <c r="E1534" s="291">
        <v>2773</v>
      </c>
      <c r="F1534" s="291">
        <v>1096</v>
      </c>
      <c r="G1534" s="291">
        <v>154</v>
      </c>
      <c r="H1534" s="287">
        <v>0.39523981247746098</v>
      </c>
      <c r="I1534" s="211">
        <v>25.1233766233766</v>
      </c>
      <c r="J1534" s="211">
        <v>0.62708132862599297</v>
      </c>
      <c r="K1534" s="288">
        <v>1738.8965242798799</v>
      </c>
    </row>
    <row r="1535" spans="2:11" x14ac:dyDescent="0.2">
      <c r="B1535">
        <v>20</v>
      </c>
      <c r="C1535">
        <v>4756</v>
      </c>
      <c r="D1535" s="308" t="s">
        <v>2107</v>
      </c>
      <c r="E1535" s="291">
        <v>838</v>
      </c>
      <c r="F1535" s="291">
        <v>339</v>
      </c>
      <c r="G1535" s="291">
        <v>1092</v>
      </c>
      <c r="H1535" s="287">
        <v>0.404534606205251</v>
      </c>
      <c r="I1535" s="211">
        <v>1.07783882783883</v>
      </c>
      <c r="J1535" s="211">
        <v>-0.31264258203112899</v>
      </c>
      <c r="K1535" s="288">
        <v>-261.994483742086</v>
      </c>
    </row>
    <row r="1536" spans="2:11" x14ac:dyDescent="0.2">
      <c r="B1536">
        <v>20</v>
      </c>
      <c r="C1536">
        <v>4761</v>
      </c>
      <c r="D1536" s="308" t="s">
        <v>2108</v>
      </c>
      <c r="E1536" s="291">
        <v>7738</v>
      </c>
      <c r="F1536" s="291">
        <v>3488</v>
      </c>
      <c r="G1536" s="291">
        <v>1206</v>
      </c>
      <c r="H1536" s="287">
        <v>0.45076247092271898</v>
      </c>
      <c r="I1536" s="211">
        <v>9.3084577114427898</v>
      </c>
      <c r="J1536" s="211">
        <v>0.30858248280078998</v>
      </c>
      <c r="K1536" s="288">
        <v>2387.8112519125102</v>
      </c>
    </row>
    <row r="1537" spans="2:11" x14ac:dyDescent="0.2">
      <c r="B1537">
        <v>20</v>
      </c>
      <c r="C1537">
        <v>4776</v>
      </c>
      <c r="D1537" s="308" t="s">
        <v>2109</v>
      </c>
      <c r="E1537" s="291">
        <v>1596</v>
      </c>
      <c r="F1537" s="291">
        <v>614</v>
      </c>
      <c r="G1537" s="291">
        <v>709</v>
      </c>
      <c r="H1537" s="287">
        <v>0.384711779448622</v>
      </c>
      <c r="I1537" s="211">
        <v>3.1170662905500701</v>
      </c>
      <c r="J1537" s="211">
        <v>-0.233841909521952</v>
      </c>
      <c r="K1537" s="288">
        <v>-373.211687597035</v>
      </c>
    </row>
    <row r="1538" spans="2:11" x14ac:dyDescent="0.2">
      <c r="B1538">
        <v>20</v>
      </c>
      <c r="C1538">
        <v>4781</v>
      </c>
      <c r="D1538" s="308" t="s">
        <v>2110</v>
      </c>
      <c r="E1538" s="291">
        <v>4632</v>
      </c>
      <c r="F1538" s="291">
        <v>1719</v>
      </c>
      <c r="G1538" s="291">
        <v>1635</v>
      </c>
      <c r="H1538" s="287">
        <v>0.37111398963730602</v>
      </c>
      <c r="I1538" s="211">
        <v>3.8844036697247701</v>
      </c>
      <c r="J1538" s="211">
        <v>-0.106691392603681</v>
      </c>
      <c r="K1538" s="288">
        <v>-494.19453054024899</v>
      </c>
    </row>
    <row r="1539" spans="2:11" x14ac:dyDescent="0.2">
      <c r="B1539">
        <v>20</v>
      </c>
      <c r="C1539">
        <v>4786</v>
      </c>
      <c r="D1539" s="308" t="s">
        <v>2111</v>
      </c>
      <c r="E1539" s="291">
        <v>2490</v>
      </c>
      <c r="F1539" s="291">
        <v>516</v>
      </c>
      <c r="G1539" s="291">
        <v>215</v>
      </c>
      <c r="H1539" s="287">
        <v>0.207228915662651</v>
      </c>
      <c r="I1539" s="211">
        <v>13.9813953488372</v>
      </c>
      <c r="J1539" s="211">
        <v>-2.3225778860847601E-2</v>
      </c>
      <c r="K1539" s="288">
        <v>-57.832189363510601</v>
      </c>
    </row>
    <row r="1540" spans="2:11" x14ac:dyDescent="0.2">
      <c r="B1540">
        <v>20</v>
      </c>
      <c r="C1540">
        <v>4791</v>
      </c>
      <c r="D1540" s="308" t="s">
        <v>2112</v>
      </c>
      <c r="E1540" s="291">
        <v>1133</v>
      </c>
      <c r="F1540" s="291">
        <v>395</v>
      </c>
      <c r="G1540" s="291">
        <v>1206</v>
      </c>
      <c r="H1540" s="287">
        <v>0.348631950573698</v>
      </c>
      <c r="I1540" s="211">
        <v>1.26699834162521</v>
      </c>
      <c r="J1540" s="211">
        <v>-0.36374183168836999</v>
      </c>
      <c r="K1540" s="288">
        <v>-412.11949530292401</v>
      </c>
    </row>
    <row r="1541" spans="2:11" x14ac:dyDescent="0.2">
      <c r="B1541">
        <v>20</v>
      </c>
      <c r="C1541">
        <v>4801</v>
      </c>
      <c r="D1541" s="308" t="s">
        <v>2113</v>
      </c>
      <c r="E1541" s="291">
        <v>884</v>
      </c>
      <c r="F1541" s="291">
        <v>348</v>
      </c>
      <c r="G1541" s="291">
        <v>356</v>
      </c>
      <c r="H1541" s="287">
        <v>0.39366515837104099</v>
      </c>
      <c r="I1541" s="211">
        <v>3.4606741573033699</v>
      </c>
      <c r="J1541" s="211">
        <v>-0.23741574236795401</v>
      </c>
      <c r="K1541" s="288">
        <v>-209.875516253271</v>
      </c>
    </row>
    <row r="1542" spans="2:11" x14ac:dyDescent="0.2">
      <c r="B1542">
        <v>20</v>
      </c>
      <c r="C1542">
        <v>4806</v>
      </c>
      <c r="D1542" s="308" t="s">
        <v>2114</v>
      </c>
      <c r="E1542" s="291">
        <v>1729</v>
      </c>
      <c r="F1542" s="291">
        <v>591</v>
      </c>
      <c r="G1542" s="291">
        <v>1189</v>
      </c>
      <c r="H1542" s="287">
        <v>0.34181607865818397</v>
      </c>
      <c r="I1542" s="211">
        <v>1.9512195121951199</v>
      </c>
      <c r="J1542" s="211">
        <v>-0.32445102269748899</v>
      </c>
      <c r="K1542" s="288">
        <v>-560.97581824395797</v>
      </c>
    </row>
    <row r="1543" spans="2:11" x14ac:dyDescent="0.2">
      <c r="B1543">
        <v>20</v>
      </c>
      <c r="C1543">
        <v>4811</v>
      </c>
      <c r="D1543" s="308" t="s">
        <v>2115</v>
      </c>
      <c r="E1543" s="291">
        <v>1030</v>
      </c>
      <c r="F1543" s="291">
        <v>351</v>
      </c>
      <c r="G1543" s="291">
        <v>1371</v>
      </c>
      <c r="H1543" s="287">
        <v>0.340776699029126</v>
      </c>
      <c r="I1543" s="211">
        <v>1.0072939460248</v>
      </c>
      <c r="J1543" s="211">
        <v>-0.38688672110969602</v>
      </c>
      <c r="K1543" s="288">
        <v>-398.49332274298598</v>
      </c>
    </row>
    <row r="1544" spans="2:11" x14ac:dyDescent="0.2">
      <c r="B1544">
        <v>20</v>
      </c>
      <c r="C1544">
        <v>4816</v>
      </c>
      <c r="D1544" s="308" t="s">
        <v>2116</v>
      </c>
      <c r="E1544" s="291">
        <v>1537</v>
      </c>
      <c r="F1544" s="291">
        <v>750</v>
      </c>
      <c r="G1544" s="291">
        <v>2406</v>
      </c>
      <c r="H1544" s="287">
        <v>0.48796356538711799</v>
      </c>
      <c r="I1544" s="211">
        <v>0.95054031587697396</v>
      </c>
      <c r="J1544" s="211">
        <v>-0.18719649987773401</v>
      </c>
      <c r="K1544" s="288">
        <v>-287.72102031207697</v>
      </c>
    </row>
    <row r="1545" spans="2:11" x14ac:dyDescent="0.2">
      <c r="B1545">
        <v>20</v>
      </c>
      <c r="C1545">
        <v>4821</v>
      </c>
      <c r="D1545" s="308" t="s">
        <v>2117</v>
      </c>
      <c r="E1545" s="291">
        <v>1705</v>
      </c>
      <c r="F1545" s="291">
        <v>720</v>
      </c>
      <c r="G1545" s="291">
        <v>1679</v>
      </c>
      <c r="H1545" s="287">
        <v>0.42228739002932603</v>
      </c>
      <c r="I1545" s="211">
        <v>1.4443120905300799</v>
      </c>
      <c r="J1545" s="211">
        <v>-0.24414550680326899</v>
      </c>
      <c r="K1545" s="288">
        <v>-416.26808909957299</v>
      </c>
    </row>
    <row r="1546" spans="2:11" x14ac:dyDescent="0.2">
      <c r="B1546">
        <v>20</v>
      </c>
      <c r="C1546">
        <v>4826</v>
      </c>
      <c r="D1546" s="308" t="s">
        <v>2118</v>
      </c>
      <c r="E1546" s="291">
        <v>653</v>
      </c>
      <c r="F1546" s="291">
        <v>438</v>
      </c>
      <c r="G1546" s="291">
        <v>545</v>
      </c>
      <c r="H1546" s="287">
        <v>0.67075038284839195</v>
      </c>
      <c r="I1546" s="211">
        <v>2.0018348623853202</v>
      </c>
      <c r="J1546" s="211">
        <v>4.3885896646016997E-2</v>
      </c>
      <c r="K1546" s="288">
        <v>28.657490509849101</v>
      </c>
    </row>
    <row r="1547" spans="2:11" x14ac:dyDescent="0.2">
      <c r="B1547">
        <v>20</v>
      </c>
      <c r="C1547">
        <v>4831</v>
      </c>
      <c r="D1547" s="308" t="s">
        <v>2119</v>
      </c>
      <c r="E1547" s="291">
        <v>2939</v>
      </c>
      <c r="F1547" s="291">
        <v>1105</v>
      </c>
      <c r="G1547" s="291">
        <v>855</v>
      </c>
      <c r="H1547" s="287">
        <v>0.37597822388567498</v>
      </c>
      <c r="I1547" s="211">
        <v>4.7298245614035102</v>
      </c>
      <c r="J1547" s="211">
        <v>-0.134507085705249</v>
      </c>
      <c r="K1547" s="288">
        <v>-395.31632488772601</v>
      </c>
    </row>
    <row r="1548" spans="2:11" x14ac:dyDescent="0.2">
      <c r="B1548">
        <v>20</v>
      </c>
      <c r="C1548">
        <v>4841</v>
      </c>
      <c r="D1548" s="308" t="s">
        <v>2120</v>
      </c>
      <c r="E1548" s="291">
        <v>1951</v>
      </c>
      <c r="F1548" s="291">
        <v>652</v>
      </c>
      <c r="G1548" s="291">
        <v>1266</v>
      </c>
      <c r="H1548" s="287">
        <v>0.334187596104562</v>
      </c>
      <c r="I1548" s="211">
        <v>2.0560821484992098</v>
      </c>
      <c r="J1548" s="211">
        <v>-0.32159552783633599</v>
      </c>
      <c r="K1548" s="288">
        <v>-627.43287480869196</v>
      </c>
    </row>
    <row r="1549" spans="2:11" x14ac:dyDescent="0.2">
      <c r="B1549">
        <v>20</v>
      </c>
      <c r="C1549">
        <v>4846</v>
      </c>
      <c r="D1549" s="308" t="s">
        <v>2121</v>
      </c>
      <c r="E1549" s="291">
        <v>391</v>
      </c>
      <c r="F1549" s="291">
        <v>174</v>
      </c>
      <c r="G1549" s="291">
        <v>770</v>
      </c>
      <c r="H1549" s="287">
        <v>0.445012787723785</v>
      </c>
      <c r="I1549" s="211">
        <v>0.73376623376623396</v>
      </c>
      <c r="J1549" s="211">
        <v>-0.29211666248058998</v>
      </c>
      <c r="K1549" s="288">
        <v>-114.217615029911</v>
      </c>
    </row>
    <row r="1550" spans="2:11" x14ac:dyDescent="0.2">
      <c r="B1550">
        <v>20</v>
      </c>
      <c r="C1550">
        <v>4851</v>
      </c>
      <c r="D1550" s="308" t="s">
        <v>2122</v>
      </c>
      <c r="E1550" s="291">
        <v>1288</v>
      </c>
      <c r="F1550" s="291">
        <v>498</v>
      </c>
      <c r="G1550" s="291">
        <v>647</v>
      </c>
      <c r="H1550" s="287">
        <v>0.38664596273291901</v>
      </c>
      <c r="I1550" s="211">
        <v>2.7604327666151498</v>
      </c>
      <c r="J1550" s="211">
        <v>-0.25622550257554599</v>
      </c>
      <c r="K1550" s="288">
        <v>-330.01844731730301</v>
      </c>
    </row>
    <row r="1551" spans="2:11" x14ac:dyDescent="0.2">
      <c r="B1551">
        <v>20</v>
      </c>
      <c r="C1551">
        <v>4864</v>
      </c>
      <c r="D1551" s="308" t="s">
        <v>2123</v>
      </c>
      <c r="E1551" s="291">
        <v>3754</v>
      </c>
      <c r="F1551" s="291">
        <v>1422</v>
      </c>
      <c r="G1551" s="291">
        <v>876</v>
      </c>
      <c r="H1551" s="287">
        <v>0.37879595098561503</v>
      </c>
      <c r="I1551" s="211">
        <v>5.90867579908676</v>
      </c>
      <c r="J1551" s="211">
        <v>-5.6864113247286997E-2</v>
      </c>
      <c r="K1551" s="288">
        <v>-213.46788113031599</v>
      </c>
    </row>
    <row r="1552" spans="2:11" x14ac:dyDescent="0.2">
      <c r="B1552">
        <v>20</v>
      </c>
      <c r="C1552">
        <v>4871</v>
      </c>
      <c r="D1552" s="308" t="s">
        <v>2124</v>
      </c>
      <c r="E1552" s="291">
        <v>1661</v>
      </c>
      <c r="F1552" s="291">
        <v>373</v>
      </c>
      <c r="G1552" s="291">
        <v>1110</v>
      </c>
      <c r="H1552" s="287">
        <v>0.22456351595424401</v>
      </c>
      <c r="I1552" s="211">
        <v>1.8324324324324299</v>
      </c>
      <c r="J1552" s="211">
        <v>-0.47667840959393298</v>
      </c>
      <c r="K1552" s="288">
        <v>-791.76283833552304</v>
      </c>
    </row>
    <row r="1553" spans="2:11" x14ac:dyDescent="0.2">
      <c r="B1553">
        <v>20</v>
      </c>
      <c r="C1553">
        <v>4881</v>
      </c>
      <c r="D1553" s="308" t="s">
        <v>2125</v>
      </c>
      <c r="E1553" s="291">
        <v>1311</v>
      </c>
      <c r="F1553" s="291">
        <v>517</v>
      </c>
      <c r="G1553" s="291">
        <v>1421</v>
      </c>
      <c r="H1553" s="287">
        <v>0.39435545385202098</v>
      </c>
      <c r="I1553" s="211">
        <v>1.2864180154820499</v>
      </c>
      <c r="J1553" s="211">
        <v>-0.29957308931746901</v>
      </c>
      <c r="K1553" s="288">
        <v>-392.74032009520101</v>
      </c>
    </row>
    <row r="1554" spans="2:11" x14ac:dyDescent="0.2">
      <c r="B1554">
        <v>20</v>
      </c>
      <c r="C1554">
        <v>4891</v>
      </c>
      <c r="D1554" s="308" t="s">
        <v>2126</v>
      </c>
      <c r="E1554" s="291">
        <v>3308</v>
      </c>
      <c r="F1554" s="291">
        <v>1731</v>
      </c>
      <c r="G1554" s="291">
        <v>1310</v>
      </c>
      <c r="H1554" s="287">
        <v>0.52327690447400199</v>
      </c>
      <c r="I1554" s="211">
        <v>3.8465648854961798</v>
      </c>
      <c r="J1554" s="211">
        <v>2.98935428709898E-2</v>
      </c>
      <c r="K1554" s="288">
        <v>98.887839817234095</v>
      </c>
    </row>
    <row r="1555" spans="2:11" x14ac:dyDescent="0.2">
      <c r="B1555">
        <v>20</v>
      </c>
      <c r="C1555">
        <v>4901</v>
      </c>
      <c r="D1555" s="308" t="s">
        <v>2127</v>
      </c>
      <c r="E1555" s="291">
        <v>1338</v>
      </c>
      <c r="F1555" s="291">
        <v>364</v>
      </c>
      <c r="G1555" s="291">
        <v>1222</v>
      </c>
      <c r="H1555" s="287">
        <v>0.272047832585949</v>
      </c>
      <c r="I1555" s="211">
        <v>1.3927986906710299</v>
      </c>
      <c r="J1555" s="211">
        <v>-0.44621933237995398</v>
      </c>
      <c r="K1555" s="288">
        <v>-597.04146672437901</v>
      </c>
    </row>
    <row r="1556" spans="2:11" x14ac:dyDescent="0.2">
      <c r="B1556">
        <v>20</v>
      </c>
      <c r="C1556">
        <v>4911</v>
      </c>
      <c r="D1556" s="308" t="s">
        <v>2128</v>
      </c>
      <c r="E1556" s="291">
        <v>3751</v>
      </c>
      <c r="F1556" s="291">
        <v>1413</v>
      </c>
      <c r="G1556" s="291">
        <v>1128</v>
      </c>
      <c r="H1556" s="287">
        <v>0.37669954678752299</v>
      </c>
      <c r="I1556" s="211">
        <v>4.5780141843971602</v>
      </c>
      <c r="J1556" s="211">
        <v>-0.108125991631878</v>
      </c>
      <c r="K1556" s="288">
        <v>-405.58059461117602</v>
      </c>
    </row>
    <row r="1557" spans="2:11" x14ac:dyDescent="0.2">
      <c r="B1557">
        <v>20</v>
      </c>
      <c r="C1557">
        <v>4921</v>
      </c>
      <c r="D1557" s="308" t="s">
        <v>2129</v>
      </c>
      <c r="E1557" s="291">
        <v>2268</v>
      </c>
      <c r="F1557" s="291">
        <v>2556</v>
      </c>
      <c r="G1557" s="291">
        <v>1862</v>
      </c>
      <c r="H1557" s="287">
        <v>1.1269841269841301</v>
      </c>
      <c r="I1557" s="211">
        <v>2.5907626208378098</v>
      </c>
      <c r="J1557" s="211">
        <v>0.69242983885178</v>
      </c>
      <c r="K1557" s="288">
        <v>1570.4308745158401</v>
      </c>
    </row>
    <row r="1558" spans="2:11" x14ac:dyDescent="0.2">
      <c r="B1558">
        <v>20</v>
      </c>
      <c r="C1558">
        <v>4941</v>
      </c>
      <c r="D1558" s="308" t="s">
        <v>2130</v>
      </c>
      <c r="E1558" s="291">
        <v>2802</v>
      </c>
      <c r="F1558" s="291">
        <v>1038</v>
      </c>
      <c r="G1558" s="291">
        <v>983</v>
      </c>
      <c r="H1558" s="287">
        <v>0.370449678800857</v>
      </c>
      <c r="I1558" s="211">
        <v>3.9064089521871801</v>
      </c>
      <c r="J1558" s="211">
        <v>-0.17663504473317199</v>
      </c>
      <c r="K1558" s="288">
        <v>-494.931395342347</v>
      </c>
    </row>
    <row r="1559" spans="2:11" x14ac:dyDescent="0.2">
      <c r="B1559">
        <v>20</v>
      </c>
      <c r="C1559">
        <v>4946</v>
      </c>
      <c r="D1559" s="308" t="s">
        <v>2131</v>
      </c>
      <c r="E1559" s="291">
        <v>11288</v>
      </c>
      <c r="F1559" s="291">
        <v>9028</v>
      </c>
      <c r="G1559" s="291">
        <v>1520</v>
      </c>
      <c r="H1559" s="287">
        <v>0.79978738483345102</v>
      </c>
      <c r="I1559" s="211">
        <v>13.365789473684201</v>
      </c>
      <c r="J1559" s="211">
        <v>1.0247578387779701</v>
      </c>
      <c r="K1559" s="288">
        <v>11567.4664841257</v>
      </c>
    </row>
    <row r="1560" spans="2:11" x14ac:dyDescent="0.2">
      <c r="B1560">
        <v>20</v>
      </c>
      <c r="C1560">
        <v>4951</v>
      </c>
      <c r="D1560" s="308" t="s">
        <v>2132</v>
      </c>
      <c r="E1560" s="291">
        <v>2423</v>
      </c>
      <c r="F1560" s="291">
        <v>1013</v>
      </c>
      <c r="G1560" s="291">
        <v>1693</v>
      </c>
      <c r="H1560" s="287">
        <v>0.41807676434172503</v>
      </c>
      <c r="I1560" s="211">
        <v>2.02953337271116</v>
      </c>
      <c r="J1560" s="211">
        <v>-0.20057684597572201</v>
      </c>
      <c r="K1560" s="288">
        <v>-485.997697799175</v>
      </c>
    </row>
    <row r="1561" spans="2:11" x14ac:dyDescent="0.2">
      <c r="B1561">
        <v>21</v>
      </c>
      <c r="C1561">
        <v>5001</v>
      </c>
      <c r="D1561" s="308" t="s">
        <v>2133</v>
      </c>
      <c r="E1561" s="291">
        <v>4944</v>
      </c>
      <c r="F1561" s="291">
        <v>2676</v>
      </c>
      <c r="G1561" s="291">
        <v>2037</v>
      </c>
      <c r="H1561" s="287">
        <v>0.54126213592232997</v>
      </c>
      <c r="I1561" s="211">
        <v>3.7407952871870398</v>
      </c>
      <c r="J1561" s="211">
        <v>0.110831863578714</v>
      </c>
      <c r="K1561" s="288">
        <v>547.95273353316304</v>
      </c>
    </row>
    <row r="1562" spans="2:11" x14ac:dyDescent="0.2">
      <c r="B1562">
        <v>21</v>
      </c>
      <c r="C1562">
        <v>5002</v>
      </c>
      <c r="D1562" s="308" t="s">
        <v>2134</v>
      </c>
      <c r="E1562" s="291">
        <v>18347</v>
      </c>
      <c r="F1562" s="291">
        <v>16540</v>
      </c>
      <c r="G1562" s="291">
        <v>1845</v>
      </c>
      <c r="H1562" s="287">
        <v>0.90150978361584999</v>
      </c>
      <c r="I1562" s="211">
        <v>18.908943089430899</v>
      </c>
      <c r="J1562" s="211">
        <v>1.6227723266165699</v>
      </c>
      <c r="K1562" s="288">
        <v>29773.003876434199</v>
      </c>
    </row>
    <row r="1563" spans="2:11" x14ac:dyDescent="0.2">
      <c r="B1563">
        <v>21</v>
      </c>
      <c r="C1563">
        <v>5003</v>
      </c>
      <c r="D1563" s="308" t="s">
        <v>2135</v>
      </c>
      <c r="E1563" s="291">
        <v>2855</v>
      </c>
      <c r="F1563" s="291">
        <v>1717</v>
      </c>
      <c r="G1563" s="291">
        <v>818</v>
      </c>
      <c r="H1563" s="287">
        <v>0.60140105078809103</v>
      </c>
      <c r="I1563" s="211">
        <v>5.5892420537897296</v>
      </c>
      <c r="J1563" s="211">
        <v>0.17297522722790801</v>
      </c>
      <c r="K1563" s="288">
        <v>493.84427373567598</v>
      </c>
    </row>
    <row r="1564" spans="2:11" x14ac:dyDescent="0.2">
      <c r="B1564">
        <v>21</v>
      </c>
      <c r="C1564">
        <v>5004</v>
      </c>
      <c r="D1564" s="308" t="s">
        <v>2136</v>
      </c>
      <c r="E1564" s="291">
        <v>2809</v>
      </c>
      <c r="F1564" s="291">
        <v>1347</v>
      </c>
      <c r="G1564" s="291">
        <v>795</v>
      </c>
      <c r="H1564" s="287">
        <v>0.479530081879672</v>
      </c>
      <c r="I1564" s="211">
        <v>5.2276729559748398</v>
      </c>
      <c r="J1564" s="211">
        <v>7.0075337034803901E-3</v>
      </c>
      <c r="K1564" s="288">
        <v>19.684162173076398</v>
      </c>
    </row>
    <row r="1565" spans="2:11" x14ac:dyDescent="0.2">
      <c r="B1565">
        <v>21</v>
      </c>
      <c r="C1565">
        <v>5005</v>
      </c>
      <c r="D1565" s="308" t="s">
        <v>2137</v>
      </c>
      <c r="E1565" s="291">
        <v>8751</v>
      </c>
      <c r="F1565" s="291">
        <v>3764</v>
      </c>
      <c r="G1565" s="291">
        <v>616</v>
      </c>
      <c r="H1565" s="287">
        <v>0.43012227174037299</v>
      </c>
      <c r="I1565" s="211">
        <v>20.316558441558399</v>
      </c>
      <c r="J1565" s="211">
        <v>0.72334488618137405</v>
      </c>
      <c r="K1565" s="288">
        <v>6329.9910989732098</v>
      </c>
    </row>
    <row r="1566" spans="2:11" x14ac:dyDescent="0.2">
      <c r="B1566">
        <v>21</v>
      </c>
      <c r="C1566">
        <v>5006</v>
      </c>
      <c r="D1566" s="308" t="s">
        <v>2138</v>
      </c>
      <c r="E1566" s="291">
        <v>752</v>
      </c>
      <c r="F1566" s="291">
        <v>71</v>
      </c>
      <c r="G1566" s="291">
        <v>718</v>
      </c>
      <c r="H1566" s="287">
        <v>9.4414893617021295E-2</v>
      </c>
      <c r="I1566" s="211">
        <v>1.1462395543175501</v>
      </c>
      <c r="J1566" s="211">
        <v>-0.69772221165461001</v>
      </c>
      <c r="K1566" s="288">
        <v>-524.687103164267</v>
      </c>
    </row>
    <row r="1567" spans="2:11" x14ac:dyDescent="0.2">
      <c r="B1567">
        <v>21</v>
      </c>
      <c r="C1567">
        <v>5007</v>
      </c>
      <c r="D1567" s="308" t="s">
        <v>2139</v>
      </c>
      <c r="E1567" s="291">
        <v>817</v>
      </c>
      <c r="F1567" s="291">
        <v>57</v>
      </c>
      <c r="G1567" s="291">
        <v>821</v>
      </c>
      <c r="H1567" s="287">
        <v>6.9767441860465101E-2</v>
      </c>
      <c r="I1567" s="211">
        <v>1.06455542021924</v>
      </c>
      <c r="J1567" s="211">
        <v>-0.72876109704990599</v>
      </c>
      <c r="K1567" s="288">
        <v>-595.397816289773</v>
      </c>
    </row>
    <row r="1568" spans="2:11" x14ac:dyDescent="0.2">
      <c r="B1568">
        <v>21</v>
      </c>
      <c r="C1568">
        <v>5008</v>
      </c>
      <c r="D1568" s="308" t="s">
        <v>2140</v>
      </c>
      <c r="E1568" s="291">
        <v>839</v>
      </c>
      <c r="F1568" s="291">
        <v>162</v>
      </c>
      <c r="G1568" s="291">
        <v>942</v>
      </c>
      <c r="H1568" s="287">
        <v>0.193087008343266</v>
      </c>
      <c r="I1568" s="211">
        <v>1.06263269639066</v>
      </c>
      <c r="J1568" s="211">
        <v>-0.57517745403782605</v>
      </c>
      <c r="K1568" s="288">
        <v>-482.57388393773601</v>
      </c>
    </row>
    <row r="1569" spans="2:11" x14ac:dyDescent="0.2">
      <c r="B1569">
        <v>21</v>
      </c>
      <c r="C1569">
        <v>5009</v>
      </c>
      <c r="D1569" s="308" t="s">
        <v>2141</v>
      </c>
      <c r="E1569" s="291">
        <v>384</v>
      </c>
      <c r="F1569" s="291">
        <v>180</v>
      </c>
      <c r="G1569" s="291">
        <v>1140</v>
      </c>
      <c r="H1569" s="287">
        <v>0.46875</v>
      </c>
      <c r="I1569" s="211">
        <v>0.49473684210526298</v>
      </c>
      <c r="J1569" s="211">
        <v>-0.27169086253918701</v>
      </c>
      <c r="K1569" s="288">
        <v>-104.329291215048</v>
      </c>
    </row>
    <row r="1570" spans="2:11" x14ac:dyDescent="0.2">
      <c r="B1570">
        <v>21</v>
      </c>
      <c r="C1570">
        <v>5010</v>
      </c>
      <c r="D1570" s="308" t="s">
        <v>2142</v>
      </c>
      <c r="E1570" s="291">
        <v>1448</v>
      </c>
      <c r="F1570" s="291">
        <v>362</v>
      </c>
      <c r="G1570" s="291">
        <v>958</v>
      </c>
      <c r="H1570" s="287">
        <v>0.25</v>
      </c>
      <c r="I1570" s="211">
        <v>1.88935281837161</v>
      </c>
      <c r="J1570" s="211">
        <v>-0.451220295573868</v>
      </c>
      <c r="K1570" s="288">
        <v>-653.36698799095996</v>
      </c>
    </row>
    <row r="1571" spans="2:11" x14ac:dyDescent="0.2">
      <c r="B1571">
        <v>21</v>
      </c>
      <c r="C1571">
        <v>5012</v>
      </c>
      <c r="D1571" s="308" t="s">
        <v>2143</v>
      </c>
      <c r="E1571" s="291">
        <v>123</v>
      </c>
      <c r="F1571" s="291">
        <v>8</v>
      </c>
      <c r="G1571" s="291">
        <v>679</v>
      </c>
      <c r="H1571" s="287">
        <v>6.50406504065041E-2</v>
      </c>
      <c r="I1571" s="211">
        <v>0.19293078055964699</v>
      </c>
      <c r="J1571" s="211">
        <v>-0.79293714256568404</v>
      </c>
      <c r="K1571" s="288">
        <v>-97.531268535579102</v>
      </c>
    </row>
    <row r="1572" spans="2:11" x14ac:dyDescent="0.2">
      <c r="B1572">
        <v>21</v>
      </c>
      <c r="C1572">
        <v>5013</v>
      </c>
      <c r="D1572" s="308" t="s">
        <v>2144</v>
      </c>
      <c r="E1572" s="291">
        <v>2872</v>
      </c>
      <c r="F1572" s="291">
        <v>748</v>
      </c>
      <c r="G1572" s="291">
        <v>782</v>
      </c>
      <c r="H1572" s="287">
        <v>0.26044568245125299</v>
      </c>
      <c r="I1572" s="211">
        <v>4.6291560102301803</v>
      </c>
      <c r="J1572" s="211">
        <v>-0.28390381621976901</v>
      </c>
      <c r="K1572" s="288">
        <v>-815.37176018317598</v>
      </c>
    </row>
    <row r="1573" spans="2:11" x14ac:dyDescent="0.2">
      <c r="B1573">
        <v>21</v>
      </c>
      <c r="C1573">
        <v>5014</v>
      </c>
      <c r="D1573" s="308" t="s">
        <v>2145</v>
      </c>
      <c r="E1573" s="291">
        <v>605</v>
      </c>
      <c r="F1573" s="291">
        <v>50</v>
      </c>
      <c r="G1573" s="291">
        <v>780</v>
      </c>
      <c r="H1573" s="287">
        <v>8.2644628099173598E-2</v>
      </c>
      <c r="I1573" s="211">
        <v>0.83974358974358998</v>
      </c>
      <c r="J1573" s="211">
        <v>-0.729106862652523</v>
      </c>
      <c r="K1573" s="288">
        <v>-441.109651904776</v>
      </c>
    </row>
    <row r="1574" spans="2:11" x14ac:dyDescent="0.2">
      <c r="B1574">
        <v>21</v>
      </c>
      <c r="C1574">
        <v>5015</v>
      </c>
      <c r="D1574" s="308" t="s">
        <v>2146</v>
      </c>
      <c r="E1574" s="291">
        <v>614</v>
      </c>
      <c r="F1574" s="291">
        <v>130</v>
      </c>
      <c r="G1574" s="291">
        <v>1163</v>
      </c>
      <c r="H1574" s="287">
        <v>0.211726384364821</v>
      </c>
      <c r="I1574" s="211">
        <v>0.63972484952708497</v>
      </c>
      <c r="J1574" s="211">
        <v>-0.57610721740195103</v>
      </c>
      <c r="K1574" s="288">
        <v>-353.72983148479801</v>
      </c>
    </row>
    <row r="1575" spans="2:11" x14ac:dyDescent="0.2">
      <c r="B1575">
        <v>21</v>
      </c>
      <c r="C1575">
        <v>5017</v>
      </c>
      <c r="D1575" s="308" t="s">
        <v>2147</v>
      </c>
      <c r="E1575" s="291">
        <v>2452</v>
      </c>
      <c r="F1575" s="291">
        <v>2267</v>
      </c>
      <c r="G1575" s="291">
        <v>638</v>
      </c>
      <c r="H1575" s="287">
        <v>0.92455138662316505</v>
      </c>
      <c r="I1575" s="211">
        <v>7.3965517241379297</v>
      </c>
      <c r="J1575" s="211">
        <v>0.62395318472991401</v>
      </c>
      <c r="K1575" s="288">
        <v>1529.9332089577499</v>
      </c>
    </row>
    <row r="1576" spans="2:11" x14ac:dyDescent="0.2">
      <c r="B1576">
        <v>21</v>
      </c>
      <c r="C1576">
        <v>5018</v>
      </c>
      <c r="D1576" s="308" t="s">
        <v>2148</v>
      </c>
      <c r="E1576" s="291">
        <v>234</v>
      </c>
      <c r="F1576" s="291">
        <v>41</v>
      </c>
      <c r="G1576" s="291">
        <v>3030</v>
      </c>
      <c r="H1576" s="287">
        <v>0.17521367521367501</v>
      </c>
      <c r="I1576" s="211">
        <v>9.0759075907590803E-2</v>
      </c>
      <c r="J1576" s="211">
        <v>-0.65590118445594503</v>
      </c>
      <c r="K1576" s="288">
        <v>-153.480877162691</v>
      </c>
    </row>
    <row r="1577" spans="2:11" x14ac:dyDescent="0.2">
      <c r="B1577">
        <v>21</v>
      </c>
      <c r="C1577">
        <v>5019</v>
      </c>
      <c r="D1577" s="308" t="s">
        <v>2149</v>
      </c>
      <c r="E1577" s="291">
        <v>3217</v>
      </c>
      <c r="F1577" s="291">
        <v>936</v>
      </c>
      <c r="G1577" s="291">
        <v>770</v>
      </c>
      <c r="H1577" s="287">
        <v>0.29095430525334198</v>
      </c>
      <c r="I1577" s="211">
        <v>5.3935064935064903</v>
      </c>
      <c r="J1577" s="211">
        <v>-0.20502887398451</v>
      </c>
      <c r="K1577" s="288">
        <v>-659.577887608168</v>
      </c>
    </row>
    <row r="1578" spans="2:11" x14ac:dyDescent="0.2">
      <c r="B1578">
        <v>21</v>
      </c>
      <c r="C1578">
        <v>5048</v>
      </c>
      <c r="D1578" s="308" t="s">
        <v>2150</v>
      </c>
      <c r="E1578" s="291">
        <v>1850</v>
      </c>
      <c r="F1578" s="291">
        <v>832</v>
      </c>
      <c r="G1578" s="291">
        <v>4999</v>
      </c>
      <c r="H1578" s="287">
        <v>0.44972972972973002</v>
      </c>
      <c r="I1578" s="211">
        <v>0.53650730146029202</v>
      </c>
      <c r="J1578" s="211">
        <v>-0.237721013524926</v>
      </c>
      <c r="K1578" s="288">
        <v>-439.78387502111298</v>
      </c>
    </row>
    <row r="1579" spans="2:11" x14ac:dyDescent="0.2">
      <c r="B1579">
        <v>21</v>
      </c>
      <c r="C1579">
        <v>5049</v>
      </c>
      <c r="D1579" s="308" t="s">
        <v>2151</v>
      </c>
      <c r="E1579" s="291">
        <v>1816</v>
      </c>
      <c r="F1579" s="291">
        <v>577</v>
      </c>
      <c r="G1579" s="291">
        <v>11213</v>
      </c>
      <c r="H1579" s="287">
        <v>0.31773127753303998</v>
      </c>
      <c r="I1579" s="211">
        <v>0.213413002764648</v>
      </c>
      <c r="J1579" s="211">
        <v>-0.41437604671406802</v>
      </c>
      <c r="K1579" s="288">
        <v>-752.50690083274696</v>
      </c>
    </row>
    <row r="1580" spans="2:11" x14ac:dyDescent="0.2">
      <c r="B1580">
        <v>21</v>
      </c>
      <c r="C1580">
        <v>5050</v>
      </c>
      <c r="D1580" s="308" t="s">
        <v>2152</v>
      </c>
      <c r="E1580" s="291">
        <v>2101</v>
      </c>
      <c r="F1580" s="291">
        <v>589</v>
      </c>
      <c r="G1580" s="291">
        <v>5949</v>
      </c>
      <c r="H1580" s="287">
        <v>0.28034269395525901</v>
      </c>
      <c r="I1580" s="211">
        <v>0.45217683644310003</v>
      </c>
      <c r="J1580" s="211">
        <v>-0.44110559297302698</v>
      </c>
      <c r="K1580" s="288">
        <v>-926.76285083633104</v>
      </c>
    </row>
    <row r="1581" spans="2:11" x14ac:dyDescent="0.2">
      <c r="B1581">
        <v>21</v>
      </c>
      <c r="C1581">
        <v>5061</v>
      </c>
      <c r="D1581" s="308" t="s">
        <v>2153</v>
      </c>
      <c r="E1581" s="291">
        <v>1526</v>
      </c>
      <c r="F1581" s="291">
        <v>1071</v>
      </c>
      <c r="G1581" s="291">
        <v>5300</v>
      </c>
      <c r="H1581" s="287">
        <v>0.701834862385321</v>
      </c>
      <c r="I1581" s="211">
        <v>0.49</v>
      </c>
      <c r="J1581" s="211">
        <v>6.0601932119385901E-2</v>
      </c>
      <c r="K1581" s="288">
        <v>92.478548414182896</v>
      </c>
    </row>
    <row r="1582" spans="2:11" x14ac:dyDescent="0.2">
      <c r="B1582">
        <v>21</v>
      </c>
      <c r="C1582">
        <v>5063</v>
      </c>
      <c r="D1582" s="308" t="s">
        <v>2154</v>
      </c>
      <c r="E1582" s="291">
        <v>109</v>
      </c>
      <c r="F1582" s="291">
        <v>62</v>
      </c>
      <c r="G1582" s="291">
        <v>3054</v>
      </c>
      <c r="H1582" s="287">
        <v>0.56880733944954098</v>
      </c>
      <c r="I1582" s="211">
        <v>5.5992141453831003E-2</v>
      </c>
      <c r="J1582" s="211">
        <v>-0.17421868886238201</v>
      </c>
      <c r="K1582" s="288">
        <v>-18.989837085999699</v>
      </c>
    </row>
    <row r="1583" spans="2:11" x14ac:dyDescent="0.2">
      <c r="B1583">
        <v>21</v>
      </c>
      <c r="C1583">
        <v>5064</v>
      </c>
      <c r="D1583" s="308" t="s">
        <v>2155</v>
      </c>
      <c r="E1583" s="291">
        <v>1038</v>
      </c>
      <c r="F1583" s="291">
        <v>477</v>
      </c>
      <c r="G1583" s="291">
        <v>559</v>
      </c>
      <c r="H1583" s="287">
        <v>0.459537572254335</v>
      </c>
      <c r="I1583" s="211">
        <v>2.7101967799642201</v>
      </c>
      <c r="J1583" s="211">
        <v>-0.17728607091250601</v>
      </c>
      <c r="K1583" s="288">
        <v>-184.022941607181</v>
      </c>
    </row>
    <row r="1584" spans="2:11" x14ac:dyDescent="0.2">
      <c r="B1584">
        <v>21</v>
      </c>
      <c r="C1584">
        <v>5071</v>
      </c>
      <c r="D1584" s="308" t="s">
        <v>2156</v>
      </c>
      <c r="E1584" s="291">
        <v>192</v>
      </c>
      <c r="F1584" s="291">
        <v>45</v>
      </c>
      <c r="G1584" s="291">
        <v>989</v>
      </c>
      <c r="H1584" s="287">
        <v>0.234375</v>
      </c>
      <c r="I1584" s="211">
        <v>0.23963599595551099</v>
      </c>
      <c r="J1584" s="211">
        <v>-0.57876358462844801</v>
      </c>
      <c r="K1584" s="288">
        <v>-111.122608248662</v>
      </c>
    </row>
    <row r="1585" spans="2:11" x14ac:dyDescent="0.2">
      <c r="B1585">
        <v>21</v>
      </c>
      <c r="C1585">
        <v>5072</v>
      </c>
      <c r="D1585" s="308" t="s">
        <v>2157</v>
      </c>
      <c r="E1585" s="291">
        <v>2978</v>
      </c>
      <c r="F1585" s="291">
        <v>1209</v>
      </c>
      <c r="G1585" s="291">
        <v>9250</v>
      </c>
      <c r="H1585" s="287">
        <v>0.40597716588314298</v>
      </c>
      <c r="I1585" s="211">
        <v>0.45264864864864901</v>
      </c>
      <c r="J1585" s="211">
        <v>-0.25189694056511203</v>
      </c>
      <c r="K1585" s="288">
        <v>-750.149089002903</v>
      </c>
    </row>
    <row r="1586" spans="2:11" x14ac:dyDescent="0.2">
      <c r="B1586">
        <v>21</v>
      </c>
      <c r="C1586">
        <v>5073</v>
      </c>
      <c r="D1586" s="308" t="s">
        <v>2158</v>
      </c>
      <c r="E1586" s="291">
        <v>879</v>
      </c>
      <c r="F1586" s="291">
        <v>369</v>
      </c>
      <c r="G1586" s="291">
        <v>1481</v>
      </c>
      <c r="H1586" s="287">
        <v>0.419795221843003</v>
      </c>
      <c r="I1586" s="211">
        <v>0.84267386900742702</v>
      </c>
      <c r="J1586" s="211">
        <v>-0.30074562759172402</v>
      </c>
      <c r="K1586" s="288">
        <v>-264.35540665312499</v>
      </c>
    </row>
    <row r="1587" spans="2:11" x14ac:dyDescent="0.2">
      <c r="B1587">
        <v>21</v>
      </c>
      <c r="C1587">
        <v>5076</v>
      </c>
      <c r="D1587" s="308" t="s">
        <v>2159</v>
      </c>
      <c r="E1587" s="291">
        <v>340</v>
      </c>
      <c r="F1587" s="291">
        <v>106</v>
      </c>
      <c r="G1587" s="291">
        <v>2761</v>
      </c>
      <c r="H1587" s="287">
        <v>0.311764705882353</v>
      </c>
      <c r="I1587" s="211">
        <v>0.161535675479899</v>
      </c>
      <c r="J1587" s="211">
        <v>-0.48005954027103998</v>
      </c>
      <c r="K1587" s="288">
        <v>-163.22024369215401</v>
      </c>
    </row>
    <row r="1588" spans="2:11" x14ac:dyDescent="0.2">
      <c r="B1588">
        <v>21</v>
      </c>
      <c r="C1588">
        <v>5077</v>
      </c>
      <c r="D1588" s="308" t="s">
        <v>2160</v>
      </c>
      <c r="E1588" s="291">
        <v>780</v>
      </c>
      <c r="F1588" s="291">
        <v>244</v>
      </c>
      <c r="G1588" s="291">
        <v>533</v>
      </c>
      <c r="H1588" s="287">
        <v>0.31282051282051299</v>
      </c>
      <c r="I1588" s="211">
        <v>1.92120075046904</v>
      </c>
      <c r="J1588" s="211">
        <v>-0.39773731557825598</v>
      </c>
      <c r="K1588" s="288">
        <v>-310.23510615103999</v>
      </c>
    </row>
    <row r="1589" spans="2:11" x14ac:dyDescent="0.2">
      <c r="B1589">
        <v>21</v>
      </c>
      <c r="C1589">
        <v>5078</v>
      </c>
      <c r="D1589" s="308" t="s">
        <v>2161</v>
      </c>
      <c r="E1589" s="291">
        <v>424</v>
      </c>
      <c r="F1589" s="291">
        <v>109</v>
      </c>
      <c r="G1589" s="291">
        <v>1136</v>
      </c>
      <c r="H1589" s="287">
        <v>0.25707547169811301</v>
      </c>
      <c r="I1589" s="211">
        <v>0.46919014084506999</v>
      </c>
      <c r="J1589" s="211">
        <v>-0.53339404710440697</v>
      </c>
      <c r="K1589" s="288">
        <v>-226.159075972268</v>
      </c>
    </row>
    <row r="1590" spans="2:11" x14ac:dyDescent="0.2">
      <c r="B1590">
        <v>21</v>
      </c>
      <c r="C1590">
        <v>5079</v>
      </c>
      <c r="D1590" s="308" t="s">
        <v>2162</v>
      </c>
      <c r="E1590" s="291">
        <v>1069</v>
      </c>
      <c r="F1590" s="291">
        <v>591</v>
      </c>
      <c r="G1590" s="291">
        <v>4473</v>
      </c>
      <c r="H1590" s="287">
        <v>0.55285313376987799</v>
      </c>
      <c r="I1590" s="211">
        <v>0.37111558238318798</v>
      </c>
      <c r="J1590" s="211">
        <v>-0.14581013467943199</v>
      </c>
      <c r="K1590" s="288">
        <v>-155.871033972313</v>
      </c>
    </row>
    <row r="1591" spans="2:11" x14ac:dyDescent="0.2">
      <c r="B1591">
        <v>21</v>
      </c>
      <c r="C1591">
        <v>5091</v>
      </c>
      <c r="D1591" s="308" t="s">
        <v>2163</v>
      </c>
      <c r="E1591" s="291">
        <v>5515</v>
      </c>
      <c r="F1591" s="291">
        <v>2995</v>
      </c>
      <c r="G1591" s="291">
        <v>488</v>
      </c>
      <c r="H1591" s="287">
        <v>0.54306436990027196</v>
      </c>
      <c r="I1591" s="211">
        <v>17.438524590163901</v>
      </c>
      <c r="J1591" s="211">
        <v>0.63464718837605605</v>
      </c>
      <c r="K1591" s="288">
        <v>3500.0792438939502</v>
      </c>
    </row>
    <row r="1592" spans="2:11" x14ac:dyDescent="0.2">
      <c r="B1592">
        <v>21</v>
      </c>
      <c r="C1592">
        <v>5095</v>
      </c>
      <c r="D1592" s="308" t="s">
        <v>2164</v>
      </c>
      <c r="E1592" s="291">
        <v>175</v>
      </c>
      <c r="F1592" s="291">
        <v>83</v>
      </c>
      <c r="G1592" s="291">
        <v>2719</v>
      </c>
      <c r="H1592" s="287">
        <v>0.47428571428571398</v>
      </c>
      <c r="I1592" s="211">
        <v>9.4887826406767198E-2</v>
      </c>
      <c r="J1592" s="211">
        <v>-0.287405556065705</v>
      </c>
      <c r="K1592" s="288">
        <v>-50.295972311498303</v>
      </c>
    </row>
    <row r="1593" spans="2:11" x14ac:dyDescent="0.2">
      <c r="B1593">
        <v>21</v>
      </c>
      <c r="C1593">
        <v>5096</v>
      </c>
      <c r="D1593" s="308" t="s">
        <v>2165</v>
      </c>
      <c r="E1593" s="291">
        <v>495</v>
      </c>
      <c r="F1593" s="291">
        <v>78</v>
      </c>
      <c r="G1593" s="291">
        <v>338</v>
      </c>
      <c r="H1593" s="287">
        <v>0.15757575757575801</v>
      </c>
      <c r="I1593" s="211">
        <v>1.6952662721893501</v>
      </c>
      <c r="J1593" s="211">
        <v>-0.60924401503473602</v>
      </c>
      <c r="K1593" s="288">
        <v>-301.57578744219398</v>
      </c>
    </row>
    <row r="1594" spans="2:11" x14ac:dyDescent="0.2">
      <c r="B1594">
        <v>21</v>
      </c>
      <c r="C1594">
        <v>5097</v>
      </c>
      <c r="D1594" s="308" t="s">
        <v>2166</v>
      </c>
      <c r="E1594" s="291">
        <v>1773</v>
      </c>
      <c r="F1594" s="291">
        <v>1227</v>
      </c>
      <c r="G1594" s="291">
        <v>1483</v>
      </c>
      <c r="H1594" s="287">
        <v>0.69204737732656496</v>
      </c>
      <c r="I1594" s="211">
        <v>2.0229265003371499</v>
      </c>
      <c r="J1594" s="211">
        <v>0.113840507248304</v>
      </c>
      <c r="K1594" s="288">
        <v>201.839219351243</v>
      </c>
    </row>
    <row r="1595" spans="2:11" x14ac:dyDescent="0.2">
      <c r="B1595">
        <v>21</v>
      </c>
      <c r="C1595">
        <v>5102</v>
      </c>
      <c r="D1595" s="308" t="s">
        <v>2167</v>
      </c>
      <c r="E1595" s="291">
        <v>14</v>
      </c>
      <c r="F1595" s="291">
        <v>4</v>
      </c>
      <c r="G1595" s="291">
        <v>529</v>
      </c>
      <c r="H1595" s="287">
        <v>0.28571428571428598</v>
      </c>
      <c r="I1595" s="211">
        <v>3.40264650283554E-2</v>
      </c>
      <c r="J1595" s="211">
        <v>-0.52944877367810095</v>
      </c>
      <c r="K1595" s="288">
        <v>-7.4122828314934104</v>
      </c>
    </row>
    <row r="1596" spans="2:11" x14ac:dyDescent="0.2">
      <c r="B1596">
        <v>21</v>
      </c>
      <c r="C1596">
        <v>5105</v>
      </c>
      <c r="D1596" s="308" t="s">
        <v>2168</v>
      </c>
      <c r="E1596" s="291">
        <v>107</v>
      </c>
      <c r="F1596" s="291">
        <v>22</v>
      </c>
      <c r="G1596" s="291">
        <v>1370</v>
      </c>
      <c r="H1596" s="287">
        <v>0.20560747663551401</v>
      </c>
      <c r="I1596" s="211">
        <v>9.4160583941605799E-2</v>
      </c>
      <c r="J1596" s="211">
        <v>-0.62296677329293004</v>
      </c>
      <c r="K1596" s="288">
        <v>-66.6574447423435</v>
      </c>
    </row>
    <row r="1597" spans="2:11" x14ac:dyDescent="0.2">
      <c r="B1597">
        <v>21</v>
      </c>
      <c r="C1597">
        <v>5108</v>
      </c>
      <c r="D1597" s="308" t="s">
        <v>2169</v>
      </c>
      <c r="E1597" s="291">
        <v>4568</v>
      </c>
      <c r="F1597" s="291">
        <v>1530</v>
      </c>
      <c r="G1597" s="291">
        <v>648</v>
      </c>
      <c r="H1597" s="287">
        <v>0.33493870402802101</v>
      </c>
      <c r="I1597" s="211">
        <v>9.4104938271604901</v>
      </c>
      <c r="J1597" s="211">
        <v>4.76566134878613E-2</v>
      </c>
      <c r="K1597" s="288">
        <v>217.69541041255101</v>
      </c>
    </row>
    <row r="1598" spans="2:11" x14ac:dyDescent="0.2">
      <c r="B1598">
        <v>21</v>
      </c>
      <c r="C1598">
        <v>5112</v>
      </c>
      <c r="D1598" s="308" t="s">
        <v>2170</v>
      </c>
      <c r="E1598" s="291">
        <v>1318</v>
      </c>
      <c r="F1598" s="291">
        <v>828</v>
      </c>
      <c r="G1598" s="291">
        <v>3501</v>
      </c>
      <c r="H1598" s="287">
        <v>0.62822458270106196</v>
      </c>
      <c r="I1598" s="211">
        <v>0.61296772350756901</v>
      </c>
      <c r="J1598" s="211">
        <v>-3.4074354587324801E-2</v>
      </c>
      <c r="K1598" s="288">
        <v>-44.909999346094096</v>
      </c>
    </row>
    <row r="1599" spans="2:11" x14ac:dyDescent="0.2">
      <c r="B1599">
        <v>21</v>
      </c>
      <c r="C1599">
        <v>5113</v>
      </c>
      <c r="D1599" s="308" t="s">
        <v>2171</v>
      </c>
      <c r="E1599" s="291">
        <v>16122</v>
      </c>
      <c r="F1599" s="291">
        <v>13170</v>
      </c>
      <c r="G1599" s="291">
        <v>1705</v>
      </c>
      <c r="H1599" s="287">
        <v>0.81689616672869403</v>
      </c>
      <c r="I1599" s="211">
        <v>17.1800586510264</v>
      </c>
      <c r="J1599" s="211">
        <v>1.3698273942260399</v>
      </c>
      <c r="K1599" s="288">
        <v>22084.3572497122</v>
      </c>
    </row>
    <row r="1600" spans="2:11" x14ac:dyDescent="0.2">
      <c r="B1600">
        <v>21</v>
      </c>
      <c r="C1600">
        <v>5115</v>
      </c>
      <c r="D1600" s="308" t="s">
        <v>2172</v>
      </c>
      <c r="E1600" s="291">
        <v>6612</v>
      </c>
      <c r="F1600" s="291">
        <v>3138</v>
      </c>
      <c r="G1600" s="291">
        <v>893</v>
      </c>
      <c r="H1600" s="287">
        <v>0.47459165154264998</v>
      </c>
      <c r="I1600" s="211">
        <v>10.9182530795073</v>
      </c>
      <c r="J1600" s="211">
        <v>0.35382059957687201</v>
      </c>
      <c r="K1600" s="288">
        <v>2339.46180440228</v>
      </c>
    </row>
    <row r="1601" spans="2:11" x14ac:dyDescent="0.2">
      <c r="B1601">
        <v>21</v>
      </c>
      <c r="C1601">
        <v>5117</v>
      </c>
      <c r="D1601" s="308" t="s">
        <v>2173</v>
      </c>
      <c r="E1601" s="291">
        <v>216</v>
      </c>
      <c r="F1601" s="291">
        <v>34</v>
      </c>
      <c r="G1601" s="291">
        <v>1005</v>
      </c>
      <c r="H1601" s="287">
        <v>0.157407407407407</v>
      </c>
      <c r="I1601" s="211">
        <v>0.248756218905473</v>
      </c>
      <c r="J1601" s="211">
        <v>-0.67288928553671601</v>
      </c>
      <c r="K1601" s="288">
        <v>-145.34408567593101</v>
      </c>
    </row>
    <row r="1602" spans="2:11" x14ac:dyDescent="0.2">
      <c r="B1602">
        <v>21</v>
      </c>
      <c r="C1602">
        <v>5118</v>
      </c>
      <c r="D1602" s="308" t="s">
        <v>2174</v>
      </c>
      <c r="E1602" s="291">
        <v>7268</v>
      </c>
      <c r="F1602" s="291">
        <v>1796</v>
      </c>
      <c r="G1602" s="291">
        <v>572</v>
      </c>
      <c r="H1602" s="287">
        <v>0.24711062190423799</v>
      </c>
      <c r="I1602" s="211">
        <v>15.846153846153801</v>
      </c>
      <c r="J1602" s="211">
        <v>0.27679514199482003</v>
      </c>
      <c r="K1602" s="288">
        <v>2011.74709201835</v>
      </c>
    </row>
    <row r="1603" spans="2:11" x14ac:dyDescent="0.2">
      <c r="B1603">
        <v>21</v>
      </c>
      <c r="C1603">
        <v>5120</v>
      </c>
      <c r="D1603" s="308" t="s">
        <v>2175</v>
      </c>
      <c r="E1603" s="291">
        <v>2686</v>
      </c>
      <c r="F1603" s="291">
        <v>1671</v>
      </c>
      <c r="G1603" s="291">
        <v>62</v>
      </c>
      <c r="H1603" s="287">
        <v>0.62211466865227105</v>
      </c>
      <c r="I1603" s="211">
        <v>70.274193548387103</v>
      </c>
      <c r="J1603" s="211">
        <v>2.55222907898801</v>
      </c>
      <c r="K1603" s="288">
        <v>6855.2873061618102</v>
      </c>
    </row>
    <row r="1604" spans="2:11" x14ac:dyDescent="0.2">
      <c r="B1604">
        <v>21</v>
      </c>
      <c r="C1604">
        <v>5121</v>
      </c>
      <c r="D1604" s="308" t="s">
        <v>2176</v>
      </c>
      <c r="E1604" s="291">
        <v>767</v>
      </c>
      <c r="F1604" s="291">
        <v>483</v>
      </c>
      <c r="G1604" s="291">
        <v>194</v>
      </c>
      <c r="H1604" s="287">
        <v>0.62972620599739204</v>
      </c>
      <c r="I1604" s="211">
        <v>6.4432989690721696</v>
      </c>
      <c r="J1604" s="211">
        <v>0.15945381291740701</v>
      </c>
      <c r="K1604" s="288">
        <v>122.301074507652</v>
      </c>
    </row>
    <row r="1605" spans="2:11" x14ac:dyDescent="0.2">
      <c r="B1605">
        <v>21</v>
      </c>
      <c r="C1605">
        <v>5125</v>
      </c>
      <c r="D1605" s="308" t="s">
        <v>2177</v>
      </c>
      <c r="E1605" s="291">
        <v>603</v>
      </c>
      <c r="F1605" s="291">
        <v>143</v>
      </c>
      <c r="G1605" s="291">
        <v>456</v>
      </c>
      <c r="H1605" s="287">
        <v>0.237147595356551</v>
      </c>
      <c r="I1605" s="211">
        <v>1.6359649122807001</v>
      </c>
      <c r="J1605" s="211">
        <v>-0.50867844592089895</v>
      </c>
      <c r="K1605" s="288">
        <v>-306.73310289030201</v>
      </c>
    </row>
    <row r="1606" spans="2:11" x14ac:dyDescent="0.2">
      <c r="B1606">
        <v>21</v>
      </c>
      <c r="C1606">
        <v>5129</v>
      </c>
      <c r="D1606" s="308" t="s">
        <v>2178</v>
      </c>
      <c r="E1606" s="291">
        <v>87</v>
      </c>
      <c r="F1606" s="291">
        <v>39</v>
      </c>
      <c r="G1606" s="291">
        <v>1675</v>
      </c>
      <c r="H1606" s="287">
        <v>0.44827586206896602</v>
      </c>
      <c r="I1606" s="211">
        <v>7.5223880597014903E-2</v>
      </c>
      <c r="J1606" s="211">
        <v>-0.32371590885238</v>
      </c>
      <c r="K1606" s="288">
        <v>-28.163284070157101</v>
      </c>
    </row>
    <row r="1607" spans="2:11" x14ac:dyDescent="0.2">
      <c r="B1607">
        <v>21</v>
      </c>
      <c r="C1607">
        <v>5131</v>
      </c>
      <c r="D1607" s="308" t="s">
        <v>2179</v>
      </c>
      <c r="E1607" s="291">
        <v>3040</v>
      </c>
      <c r="F1607" s="291">
        <v>1235</v>
      </c>
      <c r="G1607" s="291">
        <v>353</v>
      </c>
      <c r="H1607" s="287">
        <v>0.40625</v>
      </c>
      <c r="I1607" s="211">
        <v>12.110481586402299</v>
      </c>
      <c r="J1607" s="211">
        <v>0.176148550857987</v>
      </c>
      <c r="K1607" s="288">
        <v>535.49159460828002</v>
      </c>
    </row>
    <row r="1608" spans="2:11" x14ac:dyDescent="0.2">
      <c r="B1608">
        <v>21</v>
      </c>
      <c r="C1608">
        <v>5135</v>
      </c>
      <c r="D1608" s="308" t="s">
        <v>2180</v>
      </c>
      <c r="E1608" s="291">
        <v>272</v>
      </c>
      <c r="F1608" s="291">
        <v>45</v>
      </c>
      <c r="G1608" s="291">
        <v>1748</v>
      </c>
      <c r="H1608" s="287">
        <v>0.16544117647058801</v>
      </c>
      <c r="I1608" s="211">
        <v>0.181350114416476</v>
      </c>
      <c r="J1608" s="211">
        <v>-0.66325372214303802</v>
      </c>
      <c r="K1608" s="288">
        <v>-180.405012422906</v>
      </c>
    </row>
    <row r="1609" spans="2:11" x14ac:dyDescent="0.2">
      <c r="B1609">
        <v>21</v>
      </c>
      <c r="C1609">
        <v>5136</v>
      </c>
      <c r="D1609" s="308" t="s">
        <v>2181</v>
      </c>
      <c r="E1609" s="291">
        <v>698</v>
      </c>
      <c r="F1609" s="291">
        <v>242</v>
      </c>
      <c r="G1609" s="291">
        <v>8269</v>
      </c>
      <c r="H1609" s="287">
        <v>0.346704871060172</v>
      </c>
      <c r="I1609" s="211">
        <v>0.11367759100254</v>
      </c>
      <c r="J1609" s="211">
        <v>-0.42483006213768398</v>
      </c>
      <c r="K1609" s="288">
        <v>-296.53138337210299</v>
      </c>
    </row>
    <row r="1610" spans="2:11" x14ac:dyDescent="0.2">
      <c r="B1610">
        <v>21</v>
      </c>
      <c r="C1610">
        <v>5138</v>
      </c>
      <c r="D1610" s="308" t="s">
        <v>2182</v>
      </c>
      <c r="E1610" s="291">
        <v>2909</v>
      </c>
      <c r="F1610" s="291">
        <v>505</v>
      </c>
      <c r="G1610" s="291">
        <v>2752</v>
      </c>
      <c r="H1610" s="287">
        <v>0.17359917497421801</v>
      </c>
      <c r="I1610" s="211">
        <v>1.2405523255813999</v>
      </c>
      <c r="J1610" s="211">
        <v>-0.51374104257869402</v>
      </c>
      <c r="K1610" s="288">
        <v>-1494.47269286142</v>
      </c>
    </row>
    <row r="1611" spans="2:11" x14ac:dyDescent="0.2">
      <c r="B1611">
        <v>21</v>
      </c>
      <c r="C1611">
        <v>5141</v>
      </c>
      <c r="D1611" s="308" t="s">
        <v>2183</v>
      </c>
      <c r="E1611" s="291">
        <v>4518</v>
      </c>
      <c r="F1611" s="291">
        <v>2846</v>
      </c>
      <c r="G1611" s="291">
        <v>244</v>
      </c>
      <c r="H1611" s="287">
        <v>0.62992474546259403</v>
      </c>
      <c r="I1611" s="211">
        <v>30.180327868852501</v>
      </c>
      <c r="J1611" s="211">
        <v>1.16907390820212</v>
      </c>
      <c r="K1611" s="288">
        <v>5281.8759172571899</v>
      </c>
    </row>
    <row r="1612" spans="2:11" x14ac:dyDescent="0.2">
      <c r="B1612">
        <v>21</v>
      </c>
      <c r="C1612">
        <v>5143</v>
      </c>
      <c r="D1612" s="308" t="s">
        <v>2184</v>
      </c>
      <c r="E1612" s="291">
        <v>368</v>
      </c>
      <c r="F1612" s="291">
        <v>32</v>
      </c>
      <c r="G1612" s="291">
        <v>255</v>
      </c>
      <c r="H1612" s="287">
        <v>8.6956521739130405E-2</v>
      </c>
      <c r="I1612" s="211">
        <v>1.5686274509803899</v>
      </c>
      <c r="J1612" s="211">
        <v>-0.70622588622129101</v>
      </c>
      <c r="K1612" s="288">
        <v>-259.89112612943501</v>
      </c>
    </row>
    <row r="1613" spans="2:11" x14ac:dyDescent="0.2">
      <c r="B1613">
        <v>21</v>
      </c>
      <c r="C1613">
        <v>5144</v>
      </c>
      <c r="D1613" s="308" t="s">
        <v>2185</v>
      </c>
      <c r="E1613" s="291">
        <v>1004</v>
      </c>
      <c r="F1613" s="291">
        <v>242</v>
      </c>
      <c r="G1613" s="291">
        <v>848</v>
      </c>
      <c r="H1613" s="287">
        <v>0.24103585657370499</v>
      </c>
      <c r="I1613" s="211">
        <v>1.4693396226415101</v>
      </c>
      <c r="J1613" s="211">
        <v>-0.494617612506142</v>
      </c>
      <c r="K1613" s="288">
        <v>-496.59608295616698</v>
      </c>
    </row>
    <row r="1614" spans="2:11" x14ac:dyDescent="0.2">
      <c r="B1614">
        <v>21</v>
      </c>
      <c r="C1614">
        <v>5146</v>
      </c>
      <c r="D1614" s="308" t="s">
        <v>2186</v>
      </c>
      <c r="E1614" s="291">
        <v>305</v>
      </c>
      <c r="F1614" s="291">
        <v>52</v>
      </c>
      <c r="G1614" s="291">
        <v>382</v>
      </c>
      <c r="H1614" s="287">
        <v>0.17049180327868901</v>
      </c>
      <c r="I1614" s="211">
        <v>0.93455497382198904</v>
      </c>
      <c r="J1614" s="211">
        <v>-0.62825342069857604</v>
      </c>
      <c r="K1614" s="288">
        <v>-191.617293313066</v>
      </c>
    </row>
    <row r="1615" spans="2:11" x14ac:dyDescent="0.2">
      <c r="B1615">
        <v>21</v>
      </c>
      <c r="C1615">
        <v>5148</v>
      </c>
      <c r="D1615" s="308" t="s">
        <v>2187</v>
      </c>
      <c r="E1615" s="291">
        <v>1574</v>
      </c>
      <c r="F1615" s="291">
        <v>1586</v>
      </c>
      <c r="G1615" s="291">
        <v>181</v>
      </c>
      <c r="H1615" s="287">
        <v>1.00762388818297</v>
      </c>
      <c r="I1615" s="211">
        <v>17.458563535911601</v>
      </c>
      <c r="J1615" s="211">
        <v>1.0604602942356101</v>
      </c>
      <c r="K1615" s="288">
        <v>1669.1645031268499</v>
      </c>
    </row>
    <row r="1616" spans="2:11" x14ac:dyDescent="0.2">
      <c r="B1616">
        <v>21</v>
      </c>
      <c r="C1616">
        <v>5149</v>
      </c>
      <c r="D1616" s="308" t="s">
        <v>2188</v>
      </c>
      <c r="E1616" s="291">
        <v>644</v>
      </c>
      <c r="F1616" s="291">
        <v>147</v>
      </c>
      <c r="G1616" s="291">
        <v>249</v>
      </c>
      <c r="H1616" s="287">
        <v>0.22826086956521699</v>
      </c>
      <c r="I1616" s="211">
        <v>3.17670682730924</v>
      </c>
      <c r="J1616" s="211">
        <v>-0.46190968591529702</v>
      </c>
      <c r="K1616" s="288">
        <v>-297.469837729451</v>
      </c>
    </row>
    <row r="1617" spans="2:11" x14ac:dyDescent="0.2">
      <c r="B1617">
        <v>21</v>
      </c>
      <c r="C1617">
        <v>5151</v>
      </c>
      <c r="D1617" s="308" t="s">
        <v>2189</v>
      </c>
      <c r="E1617" s="291">
        <v>2648</v>
      </c>
      <c r="F1617" s="291">
        <v>4821</v>
      </c>
      <c r="G1617" s="291">
        <v>633</v>
      </c>
      <c r="H1617" s="287">
        <v>1.82061933534743</v>
      </c>
      <c r="I1617" s="211">
        <v>11.799368088467601</v>
      </c>
      <c r="J1617" s="211">
        <v>1.9024551730372501</v>
      </c>
      <c r="K1617" s="288">
        <v>5037.7012982026299</v>
      </c>
    </row>
    <row r="1618" spans="2:11" x14ac:dyDescent="0.2">
      <c r="B1618">
        <v>21</v>
      </c>
      <c r="C1618">
        <v>5154</v>
      </c>
      <c r="D1618" s="308" t="s">
        <v>2190</v>
      </c>
      <c r="E1618" s="291">
        <v>905</v>
      </c>
      <c r="F1618" s="291">
        <v>190</v>
      </c>
      <c r="G1618" s="291">
        <v>184</v>
      </c>
      <c r="H1618" s="287">
        <v>0.20994475138121499</v>
      </c>
      <c r="I1618" s="211">
        <v>5.9510869565217401</v>
      </c>
      <c r="J1618" s="211">
        <v>-0.37340986517017399</v>
      </c>
      <c r="K1618" s="288">
        <v>-337.935927979008</v>
      </c>
    </row>
    <row r="1619" spans="2:11" x14ac:dyDescent="0.2">
      <c r="B1619">
        <v>21</v>
      </c>
      <c r="C1619">
        <v>5160</v>
      </c>
      <c r="D1619" s="308" t="s">
        <v>2191</v>
      </c>
      <c r="E1619" s="291">
        <v>495</v>
      </c>
      <c r="F1619" s="291">
        <v>78</v>
      </c>
      <c r="G1619" s="291">
        <v>418</v>
      </c>
      <c r="H1619" s="287">
        <v>0.15757575757575801</v>
      </c>
      <c r="I1619" s="211">
        <v>1.37081339712919</v>
      </c>
      <c r="J1619" s="211">
        <v>-0.62108174451235498</v>
      </c>
      <c r="K1619" s="288">
        <v>-307.43546353361597</v>
      </c>
    </row>
    <row r="1620" spans="2:11" x14ac:dyDescent="0.2">
      <c r="B1620">
        <v>21</v>
      </c>
      <c r="C1620">
        <v>5161</v>
      </c>
      <c r="D1620" s="308" t="s">
        <v>2192</v>
      </c>
      <c r="E1620" s="291">
        <v>791</v>
      </c>
      <c r="F1620" s="291">
        <v>201</v>
      </c>
      <c r="G1620" s="291">
        <v>390</v>
      </c>
      <c r="H1620" s="287">
        <v>0.254108723135272</v>
      </c>
      <c r="I1620" s="211">
        <v>2.5435897435897399</v>
      </c>
      <c r="J1620" s="211">
        <v>-0.44736256665997298</v>
      </c>
      <c r="K1620" s="288">
        <v>-353.86379022803902</v>
      </c>
    </row>
    <row r="1621" spans="2:11" x14ac:dyDescent="0.2">
      <c r="B1621">
        <v>21</v>
      </c>
      <c r="C1621">
        <v>5162</v>
      </c>
      <c r="D1621" s="308" t="s">
        <v>2193</v>
      </c>
      <c r="E1621" s="291">
        <v>1520</v>
      </c>
      <c r="F1621" s="291">
        <v>1903</v>
      </c>
      <c r="G1621" s="291">
        <v>76</v>
      </c>
      <c r="H1621" s="287">
        <v>1.25197368421053</v>
      </c>
      <c r="I1621" s="211">
        <v>45.039473684210499</v>
      </c>
      <c r="J1621" s="211">
        <v>2.3674816353277102</v>
      </c>
      <c r="K1621" s="288">
        <v>3598.5720856981202</v>
      </c>
    </row>
    <row r="1622" spans="2:11" x14ac:dyDescent="0.2">
      <c r="B1622">
        <v>21</v>
      </c>
      <c r="C1622">
        <v>5167</v>
      </c>
      <c r="D1622" s="308" t="s">
        <v>2194</v>
      </c>
      <c r="E1622" s="291">
        <v>2121</v>
      </c>
      <c r="F1622" s="291">
        <v>895</v>
      </c>
      <c r="G1622" s="291">
        <v>122</v>
      </c>
      <c r="H1622" s="287">
        <v>0.42197076850542198</v>
      </c>
      <c r="I1622" s="211">
        <v>24.721311475409799</v>
      </c>
      <c r="J1622" s="211">
        <v>0.62062336776798499</v>
      </c>
      <c r="K1622" s="288">
        <v>1316.3421630359001</v>
      </c>
    </row>
    <row r="1623" spans="2:11" x14ac:dyDescent="0.2">
      <c r="B1623">
        <v>21</v>
      </c>
      <c r="C1623">
        <v>5171</v>
      </c>
      <c r="D1623" s="308" t="s">
        <v>2195</v>
      </c>
      <c r="E1623" s="291">
        <v>4373</v>
      </c>
      <c r="F1623" s="291">
        <v>1478</v>
      </c>
      <c r="G1623" s="291">
        <v>271</v>
      </c>
      <c r="H1623" s="287">
        <v>0.33798307797850402</v>
      </c>
      <c r="I1623" s="211">
        <v>21.590405904059001</v>
      </c>
      <c r="J1623" s="211">
        <v>0.48836482817398502</v>
      </c>
      <c r="K1623" s="288">
        <v>2135.6193936048398</v>
      </c>
    </row>
    <row r="1624" spans="2:11" x14ac:dyDescent="0.2">
      <c r="B1624">
        <v>21</v>
      </c>
      <c r="C1624">
        <v>5176</v>
      </c>
      <c r="D1624" s="308" t="s">
        <v>2196</v>
      </c>
      <c r="E1624" s="291">
        <v>2083</v>
      </c>
      <c r="F1624" s="291">
        <v>978</v>
      </c>
      <c r="G1624" s="291">
        <v>203</v>
      </c>
      <c r="H1624" s="287">
        <v>0.46951512241958698</v>
      </c>
      <c r="I1624" s="211">
        <v>15.0788177339901</v>
      </c>
      <c r="J1624" s="211">
        <v>0.32627831132026203</v>
      </c>
      <c r="K1624" s="288">
        <v>679.63772248010605</v>
      </c>
    </row>
    <row r="1625" spans="2:11" x14ac:dyDescent="0.2">
      <c r="B1625">
        <v>21</v>
      </c>
      <c r="C1625">
        <v>5178</v>
      </c>
      <c r="D1625" s="308" t="s">
        <v>2197</v>
      </c>
      <c r="E1625" s="291">
        <v>875</v>
      </c>
      <c r="F1625" s="291">
        <v>852</v>
      </c>
      <c r="G1625" s="291">
        <v>437</v>
      </c>
      <c r="H1625" s="287">
        <v>0.97371428571428598</v>
      </c>
      <c r="I1625" s="211">
        <v>3.9519450800915301</v>
      </c>
      <c r="J1625" s="211">
        <v>0.49894057571903</v>
      </c>
      <c r="K1625" s="288">
        <v>436.57300375415099</v>
      </c>
    </row>
    <row r="1626" spans="2:11" x14ac:dyDescent="0.2">
      <c r="B1626">
        <v>21</v>
      </c>
      <c r="C1626">
        <v>5180</v>
      </c>
      <c r="D1626" s="308" t="s">
        <v>2198</v>
      </c>
      <c r="E1626" s="291">
        <v>1359</v>
      </c>
      <c r="F1626" s="291">
        <v>292</v>
      </c>
      <c r="G1626" s="291">
        <v>110</v>
      </c>
      <c r="H1626" s="287">
        <v>0.21486387049301001</v>
      </c>
      <c r="I1626" s="211">
        <v>15.009090909090901</v>
      </c>
      <c r="J1626" s="211">
        <v>-1.9484043943715699E-2</v>
      </c>
      <c r="K1626" s="288">
        <v>-26.478815719509601</v>
      </c>
    </row>
    <row r="1627" spans="2:11" x14ac:dyDescent="0.2">
      <c r="B1627">
        <v>21</v>
      </c>
      <c r="C1627">
        <v>5181</v>
      </c>
      <c r="D1627" s="308" t="s">
        <v>2199</v>
      </c>
      <c r="E1627" s="291">
        <v>546</v>
      </c>
      <c r="F1627" s="291">
        <v>106</v>
      </c>
      <c r="G1627" s="291">
        <v>271</v>
      </c>
      <c r="H1627" s="287">
        <v>0.194139194139194</v>
      </c>
      <c r="I1627" s="211">
        <v>2.4059040590405898</v>
      </c>
      <c r="J1627" s="211">
        <v>-0.53605946740090404</v>
      </c>
      <c r="K1627" s="288">
        <v>-292.68846920089402</v>
      </c>
    </row>
    <row r="1628" spans="2:11" x14ac:dyDescent="0.2">
      <c r="B1628">
        <v>21</v>
      </c>
      <c r="C1628">
        <v>5186</v>
      </c>
      <c r="D1628" s="308" t="s">
        <v>2200</v>
      </c>
      <c r="E1628" s="291">
        <v>526</v>
      </c>
      <c r="F1628" s="291">
        <v>1109</v>
      </c>
      <c r="G1628" s="291">
        <v>58</v>
      </c>
      <c r="H1628" s="287">
        <v>2.1083650190114098</v>
      </c>
      <c r="I1628" s="211">
        <v>28.189655172413801</v>
      </c>
      <c r="J1628" s="211">
        <v>2.7759417890638902</v>
      </c>
      <c r="K1628" s="288">
        <v>1460.14538104761</v>
      </c>
    </row>
    <row r="1629" spans="2:11" x14ac:dyDescent="0.2">
      <c r="B1629">
        <v>21</v>
      </c>
      <c r="C1629">
        <v>5187</v>
      </c>
      <c r="D1629" s="308" t="s">
        <v>2201</v>
      </c>
      <c r="E1629" s="291">
        <v>1299</v>
      </c>
      <c r="F1629" s="291">
        <v>957</v>
      </c>
      <c r="G1629" s="291">
        <v>66</v>
      </c>
      <c r="H1629" s="287">
        <v>0.73672055427251704</v>
      </c>
      <c r="I1629" s="211">
        <v>34.181818181818201</v>
      </c>
      <c r="J1629" s="211">
        <v>1.32441035555102</v>
      </c>
      <c r="K1629" s="288">
        <v>1720.40905186078</v>
      </c>
    </row>
    <row r="1630" spans="2:11" x14ac:dyDescent="0.2">
      <c r="B1630">
        <v>21</v>
      </c>
      <c r="C1630">
        <v>5189</v>
      </c>
      <c r="D1630" s="308" t="s">
        <v>2202</v>
      </c>
      <c r="E1630" s="291">
        <v>1785</v>
      </c>
      <c r="F1630" s="291">
        <v>1610</v>
      </c>
      <c r="G1630" s="291">
        <v>183</v>
      </c>
      <c r="H1630" s="287">
        <v>0.90196078431372595</v>
      </c>
      <c r="I1630" s="211">
        <v>18.551912568306001</v>
      </c>
      <c r="J1630" s="211">
        <v>0.97747962508489405</v>
      </c>
      <c r="K1630" s="288">
        <v>1744.80113077654</v>
      </c>
    </row>
    <row r="1631" spans="2:11" x14ac:dyDescent="0.2">
      <c r="B1631">
        <v>21</v>
      </c>
      <c r="C1631">
        <v>5192</v>
      </c>
      <c r="D1631" s="308" t="s">
        <v>2203</v>
      </c>
      <c r="E1631" s="291">
        <v>63932</v>
      </c>
      <c r="F1631" s="291">
        <v>55774</v>
      </c>
      <c r="G1631" s="291">
        <v>7171</v>
      </c>
      <c r="H1631" s="287">
        <v>0.87239567039980004</v>
      </c>
      <c r="I1631" s="211">
        <v>16.693069306930699</v>
      </c>
      <c r="J1631" s="211">
        <v>3.2476272205189698</v>
      </c>
      <c r="K1631" s="288">
        <v>207627.30346221899</v>
      </c>
    </row>
    <row r="1632" spans="2:11" x14ac:dyDescent="0.2">
      <c r="B1632">
        <v>21</v>
      </c>
      <c r="C1632">
        <v>5193</v>
      </c>
      <c r="D1632" s="308" t="s">
        <v>2204</v>
      </c>
      <c r="E1632" s="291">
        <v>1594</v>
      </c>
      <c r="F1632" s="291">
        <v>547</v>
      </c>
      <c r="G1632" s="291">
        <v>107</v>
      </c>
      <c r="H1632" s="287">
        <v>0.34316185696361401</v>
      </c>
      <c r="I1632" s="211">
        <v>20.009345794392502</v>
      </c>
      <c r="J1632" s="211">
        <v>0.33091276835237698</v>
      </c>
      <c r="K1632" s="288">
        <v>527.47495275368999</v>
      </c>
    </row>
    <row r="1633" spans="2:11" x14ac:dyDescent="0.2">
      <c r="B1633">
        <v>21</v>
      </c>
      <c r="C1633">
        <v>5194</v>
      </c>
      <c r="D1633" s="308" t="s">
        <v>2205</v>
      </c>
      <c r="E1633" s="291">
        <v>1318</v>
      </c>
      <c r="F1633" s="291">
        <v>5723</v>
      </c>
      <c r="G1633" s="291">
        <v>232</v>
      </c>
      <c r="H1633" s="287">
        <v>4.34218512898331</v>
      </c>
      <c r="I1633" s="211">
        <v>30.349137931034502</v>
      </c>
      <c r="J1633" s="211">
        <v>5.6530626544209497</v>
      </c>
      <c r="K1633" s="288">
        <v>7450.7365785268103</v>
      </c>
    </row>
    <row r="1634" spans="2:11" x14ac:dyDescent="0.2">
      <c r="B1634">
        <v>21</v>
      </c>
      <c r="C1634">
        <v>5195</v>
      </c>
      <c r="D1634" s="308" t="s">
        <v>2206</v>
      </c>
      <c r="E1634" s="291">
        <v>664</v>
      </c>
      <c r="F1634" s="291">
        <v>283</v>
      </c>
      <c r="G1634" s="291">
        <v>95</v>
      </c>
      <c r="H1634" s="287">
        <v>0.42620481927710802</v>
      </c>
      <c r="I1634" s="211">
        <v>9.9684210526315802</v>
      </c>
      <c r="J1634" s="211">
        <v>3.1936631474969099E-2</v>
      </c>
      <c r="K1634" s="288">
        <v>21.205923299379499</v>
      </c>
    </row>
    <row r="1635" spans="2:11" x14ac:dyDescent="0.2">
      <c r="B1635">
        <v>21</v>
      </c>
      <c r="C1635">
        <v>5196</v>
      </c>
      <c r="D1635" s="308" t="s">
        <v>2207</v>
      </c>
      <c r="E1635" s="291">
        <v>6195</v>
      </c>
      <c r="F1635" s="291">
        <v>1885</v>
      </c>
      <c r="G1635" s="291">
        <v>73</v>
      </c>
      <c r="H1635" s="287">
        <v>0.30427764326069401</v>
      </c>
      <c r="I1635" s="211">
        <v>110.684931506849</v>
      </c>
      <c r="J1635" s="211">
        <v>3.7668478963518899</v>
      </c>
      <c r="K1635" s="288">
        <v>23335.6227178999</v>
      </c>
    </row>
    <row r="1636" spans="2:11" x14ac:dyDescent="0.2">
      <c r="B1636">
        <v>21</v>
      </c>
      <c r="C1636">
        <v>5197</v>
      </c>
      <c r="D1636" s="308" t="s">
        <v>2208</v>
      </c>
      <c r="E1636" s="291">
        <v>1457</v>
      </c>
      <c r="F1636" s="291">
        <v>463</v>
      </c>
      <c r="G1636" s="291">
        <v>435</v>
      </c>
      <c r="H1636" s="287">
        <v>0.317776252573782</v>
      </c>
      <c r="I1636" s="211">
        <v>4.4137931034482802</v>
      </c>
      <c r="J1636" s="211">
        <v>-0.27478578810889698</v>
      </c>
      <c r="K1636" s="288">
        <v>-400.36289327466301</v>
      </c>
    </row>
    <row r="1637" spans="2:11" x14ac:dyDescent="0.2">
      <c r="B1637">
        <v>21</v>
      </c>
      <c r="C1637">
        <v>5198</v>
      </c>
      <c r="D1637" s="308" t="s">
        <v>2209</v>
      </c>
      <c r="E1637" s="291">
        <v>1806</v>
      </c>
      <c r="F1637" s="291">
        <v>731</v>
      </c>
      <c r="G1637" s="291">
        <v>163</v>
      </c>
      <c r="H1637" s="287">
        <v>0.40476190476190499</v>
      </c>
      <c r="I1637" s="211">
        <v>15.5644171779141</v>
      </c>
      <c r="J1637" s="211">
        <v>0.25317161740245903</v>
      </c>
      <c r="K1637" s="288">
        <v>457.22794102884097</v>
      </c>
    </row>
    <row r="1638" spans="2:11" x14ac:dyDescent="0.2">
      <c r="B1638">
        <v>21</v>
      </c>
      <c r="C1638">
        <v>5199</v>
      </c>
      <c r="D1638" s="308" t="s">
        <v>2210</v>
      </c>
      <c r="E1638" s="291">
        <v>1375</v>
      </c>
      <c r="F1638" s="291">
        <v>2655</v>
      </c>
      <c r="G1638" s="291">
        <v>978</v>
      </c>
      <c r="H1638" s="287">
        <v>1.93090909090909</v>
      </c>
      <c r="I1638" s="211">
        <v>4.1206543967280203</v>
      </c>
      <c r="J1638" s="211">
        <v>1.7103221905789801</v>
      </c>
      <c r="K1638" s="288">
        <v>2351.6930120461002</v>
      </c>
    </row>
    <row r="1639" spans="2:11" x14ac:dyDescent="0.2">
      <c r="B1639">
        <v>21</v>
      </c>
      <c r="C1639">
        <v>5200</v>
      </c>
      <c r="D1639" s="308" t="s">
        <v>2211</v>
      </c>
      <c r="E1639" s="291">
        <v>308</v>
      </c>
      <c r="F1639" s="291">
        <v>65</v>
      </c>
      <c r="G1639" s="291">
        <v>448</v>
      </c>
      <c r="H1639" s="287">
        <v>0.211038961038961</v>
      </c>
      <c r="I1639" s="211">
        <v>0.83258928571428603</v>
      </c>
      <c r="J1639" s="211">
        <v>-0.581614447026364</v>
      </c>
      <c r="K1639" s="288">
        <v>-179.13724968412001</v>
      </c>
    </row>
    <row r="1640" spans="2:11" x14ac:dyDescent="0.2">
      <c r="B1640">
        <v>21</v>
      </c>
      <c r="C1640">
        <v>5202</v>
      </c>
      <c r="D1640" s="308" t="s">
        <v>2212</v>
      </c>
      <c r="E1640" s="291">
        <v>896</v>
      </c>
      <c r="F1640" s="291">
        <v>756</v>
      </c>
      <c r="G1640" s="291">
        <v>321</v>
      </c>
      <c r="H1640" s="287">
        <v>0.84375</v>
      </c>
      <c r="I1640" s="211">
        <v>5.1464174454828697</v>
      </c>
      <c r="J1640" s="211">
        <v>0.38227645952060402</v>
      </c>
      <c r="K1640" s="288">
        <v>342.51970773046099</v>
      </c>
    </row>
    <row r="1641" spans="2:11" x14ac:dyDescent="0.2">
      <c r="B1641">
        <v>21</v>
      </c>
      <c r="C1641">
        <v>5203</v>
      </c>
      <c r="D1641" s="308" t="s">
        <v>2213</v>
      </c>
      <c r="E1641" s="291">
        <v>755</v>
      </c>
      <c r="F1641" s="291">
        <v>249</v>
      </c>
      <c r="G1641" s="291">
        <v>278</v>
      </c>
      <c r="H1641" s="287">
        <v>0.32980132450331101</v>
      </c>
      <c r="I1641" s="211">
        <v>3.6115107913669098</v>
      </c>
      <c r="J1641" s="211">
        <v>-0.31597923184899002</v>
      </c>
      <c r="K1641" s="288">
        <v>-238.56432004598801</v>
      </c>
    </row>
    <row r="1642" spans="2:11" x14ac:dyDescent="0.2">
      <c r="B1642">
        <v>21</v>
      </c>
      <c r="C1642">
        <v>5205</v>
      </c>
      <c r="D1642" s="308" t="s">
        <v>2214</v>
      </c>
      <c r="E1642" s="291">
        <v>804</v>
      </c>
      <c r="F1642" s="291">
        <v>951</v>
      </c>
      <c r="G1642" s="291">
        <v>128</v>
      </c>
      <c r="H1642" s="287">
        <v>1.1828358208955201</v>
      </c>
      <c r="I1642" s="211">
        <v>13.7109375</v>
      </c>
      <c r="J1642" s="211">
        <v>1.1114224461295901</v>
      </c>
      <c r="K1642" s="288">
        <v>893.58364668819195</v>
      </c>
    </row>
    <row r="1643" spans="2:11" x14ac:dyDescent="0.2">
      <c r="B1643">
        <v>21</v>
      </c>
      <c r="C1643">
        <v>5206</v>
      </c>
      <c r="D1643" s="308" t="s">
        <v>2215</v>
      </c>
      <c r="E1643" s="291">
        <v>331</v>
      </c>
      <c r="F1643" s="291">
        <v>104</v>
      </c>
      <c r="G1643" s="291">
        <v>82</v>
      </c>
      <c r="H1643" s="287">
        <v>0.31419939577039302</v>
      </c>
      <c r="I1643" s="211">
        <v>5.3048780487804903</v>
      </c>
      <c r="J1643" s="211">
        <v>-0.28973054708012402</v>
      </c>
      <c r="K1643" s="288">
        <v>-95.900811083521106</v>
      </c>
    </row>
    <row r="1644" spans="2:11" x14ac:dyDescent="0.2">
      <c r="B1644">
        <v>21</v>
      </c>
      <c r="C1644">
        <v>5207</v>
      </c>
      <c r="D1644" s="308" t="s">
        <v>2216</v>
      </c>
      <c r="E1644" s="291">
        <v>843</v>
      </c>
      <c r="F1644" s="291">
        <v>304</v>
      </c>
      <c r="G1644" s="291">
        <v>430</v>
      </c>
      <c r="H1644" s="287">
        <v>0.36061684460261001</v>
      </c>
      <c r="I1644" s="211">
        <v>2.6674418604651202</v>
      </c>
      <c r="J1644" s="211">
        <v>-0.30887585874236601</v>
      </c>
      <c r="K1644" s="288">
        <v>-260.382348919815</v>
      </c>
    </row>
    <row r="1645" spans="2:11" x14ac:dyDescent="0.2">
      <c r="B1645">
        <v>21</v>
      </c>
      <c r="C1645">
        <v>5208</v>
      </c>
      <c r="D1645" s="308" t="s">
        <v>2217</v>
      </c>
      <c r="E1645" s="291">
        <v>1466</v>
      </c>
      <c r="F1645" s="291">
        <v>173</v>
      </c>
      <c r="G1645" s="291">
        <v>199</v>
      </c>
      <c r="H1645" s="287">
        <v>0.118008185538881</v>
      </c>
      <c r="I1645" s="211">
        <v>8.2361809045226106</v>
      </c>
      <c r="J1645" s="211">
        <v>-0.38252672929694997</v>
      </c>
      <c r="K1645" s="288">
        <v>-560.78418514932901</v>
      </c>
    </row>
    <row r="1646" spans="2:11" x14ac:dyDescent="0.2">
      <c r="B1646">
        <v>21</v>
      </c>
      <c r="C1646">
        <v>5210</v>
      </c>
      <c r="D1646" s="308" t="s">
        <v>2218</v>
      </c>
      <c r="E1646" s="291">
        <v>4152</v>
      </c>
      <c r="F1646" s="291">
        <v>2934</v>
      </c>
      <c r="G1646" s="291">
        <v>84</v>
      </c>
      <c r="H1646" s="287">
        <v>0.70664739884393102</v>
      </c>
      <c r="I1646" s="211">
        <v>84.357142857142904</v>
      </c>
      <c r="J1646" s="211">
        <v>3.2268133745902898</v>
      </c>
      <c r="K1646" s="288">
        <v>13397.7291312989</v>
      </c>
    </row>
    <row r="1647" spans="2:11" x14ac:dyDescent="0.2">
      <c r="B1647">
        <v>21</v>
      </c>
      <c r="C1647">
        <v>5212</v>
      </c>
      <c r="D1647" s="308" t="s">
        <v>2219</v>
      </c>
      <c r="E1647" s="291">
        <v>1884</v>
      </c>
      <c r="F1647" s="291">
        <v>225</v>
      </c>
      <c r="G1647" s="291">
        <v>457</v>
      </c>
      <c r="H1647" s="287">
        <v>0.11942675159235699</v>
      </c>
      <c r="I1647" s="211">
        <v>4.6148796498905904</v>
      </c>
      <c r="J1647" s="211">
        <v>-0.496921251462138</v>
      </c>
      <c r="K1647" s="288">
        <v>-936.19963775466704</v>
      </c>
    </row>
    <row r="1648" spans="2:11" x14ac:dyDescent="0.2">
      <c r="B1648">
        <v>21</v>
      </c>
      <c r="C1648">
        <v>5213</v>
      </c>
      <c r="D1648" s="308" t="s">
        <v>2220</v>
      </c>
      <c r="E1648" s="291">
        <v>813</v>
      </c>
      <c r="F1648" s="291">
        <v>343</v>
      </c>
      <c r="G1648" s="291">
        <v>39</v>
      </c>
      <c r="H1648" s="287">
        <v>0.42189421894218898</v>
      </c>
      <c r="I1648" s="211">
        <v>29.6410256410256</v>
      </c>
      <c r="J1648" s="211">
        <v>0.75004730130386699</v>
      </c>
      <c r="K1648" s="288">
        <v>609.78845596004396</v>
      </c>
    </row>
    <row r="1649" spans="2:11" x14ac:dyDescent="0.2">
      <c r="B1649">
        <v>21</v>
      </c>
      <c r="C1649">
        <v>5214</v>
      </c>
      <c r="D1649" s="308" t="s">
        <v>2221</v>
      </c>
      <c r="E1649" s="291">
        <v>1612</v>
      </c>
      <c r="F1649" s="291">
        <v>1015</v>
      </c>
      <c r="G1649" s="291">
        <v>154</v>
      </c>
      <c r="H1649" s="287">
        <v>0.62965260545905699</v>
      </c>
      <c r="I1649" s="211">
        <v>17.058441558441601</v>
      </c>
      <c r="J1649" s="211">
        <v>0.57894525902689298</v>
      </c>
      <c r="K1649" s="288">
        <v>933.25975755135198</v>
      </c>
    </row>
    <row r="1650" spans="2:11" x14ac:dyDescent="0.2">
      <c r="B1650">
        <v>21</v>
      </c>
      <c r="C1650">
        <v>5216</v>
      </c>
      <c r="D1650" s="308" t="s">
        <v>2222</v>
      </c>
      <c r="E1650" s="291">
        <v>1398</v>
      </c>
      <c r="F1650" s="291">
        <v>174</v>
      </c>
      <c r="G1650" s="291">
        <v>304</v>
      </c>
      <c r="H1650" s="287">
        <v>0.124463519313305</v>
      </c>
      <c r="I1650" s="211">
        <v>5.1710526315789496</v>
      </c>
      <c r="J1650" s="211">
        <v>-0.48895758671220502</v>
      </c>
      <c r="K1650" s="288">
        <v>-683.56270622366299</v>
      </c>
    </row>
    <row r="1651" spans="2:11" x14ac:dyDescent="0.2">
      <c r="B1651">
        <v>21</v>
      </c>
      <c r="C1651">
        <v>5219</v>
      </c>
      <c r="D1651" s="308" t="s">
        <v>2223</v>
      </c>
      <c r="E1651" s="291">
        <v>834</v>
      </c>
      <c r="F1651" s="291">
        <v>88</v>
      </c>
      <c r="G1651" s="291">
        <v>527</v>
      </c>
      <c r="H1651" s="287">
        <v>0.105515587529976</v>
      </c>
      <c r="I1651" s="211">
        <v>1.74952561669829</v>
      </c>
      <c r="J1651" s="211">
        <v>-0.65882243790806105</v>
      </c>
      <c r="K1651" s="288">
        <v>-549.45791321532295</v>
      </c>
    </row>
    <row r="1652" spans="2:11" x14ac:dyDescent="0.2">
      <c r="B1652">
        <v>21</v>
      </c>
      <c r="C1652">
        <v>5221</v>
      </c>
      <c r="D1652" s="308" t="s">
        <v>2224</v>
      </c>
      <c r="E1652" s="291">
        <v>2212</v>
      </c>
      <c r="F1652" s="291">
        <v>1216</v>
      </c>
      <c r="G1652" s="291">
        <v>74</v>
      </c>
      <c r="H1652" s="287">
        <v>0.54972875226039797</v>
      </c>
      <c r="I1652" s="211">
        <v>46.324324324324301</v>
      </c>
      <c r="J1652" s="211">
        <v>1.5706038830156701</v>
      </c>
      <c r="K1652" s="288">
        <v>3474.17578923066</v>
      </c>
    </row>
    <row r="1653" spans="2:11" x14ac:dyDescent="0.2">
      <c r="B1653">
        <v>21</v>
      </c>
      <c r="C1653">
        <v>5222</v>
      </c>
      <c r="D1653" s="308" t="s">
        <v>2225</v>
      </c>
      <c r="E1653" s="291">
        <v>703</v>
      </c>
      <c r="F1653" s="291">
        <v>114</v>
      </c>
      <c r="G1653" s="291">
        <v>288</v>
      </c>
      <c r="H1653" s="287">
        <v>0.162162162162162</v>
      </c>
      <c r="I1653" s="211">
        <v>2.8368055555555598</v>
      </c>
      <c r="J1653" s="211">
        <v>-0.55396384311273605</v>
      </c>
      <c r="K1653" s="288">
        <v>-389.43658170825398</v>
      </c>
    </row>
    <row r="1654" spans="2:11" x14ac:dyDescent="0.2">
      <c r="B1654">
        <v>21</v>
      </c>
      <c r="C1654">
        <v>5225</v>
      </c>
      <c r="D1654" s="308" t="s">
        <v>2226</v>
      </c>
      <c r="E1654" s="291">
        <v>1783</v>
      </c>
      <c r="F1654" s="291">
        <v>1224</v>
      </c>
      <c r="G1654" s="291">
        <v>83</v>
      </c>
      <c r="H1654" s="287">
        <v>0.68648345485137396</v>
      </c>
      <c r="I1654" s="211">
        <v>36.2289156626506</v>
      </c>
      <c r="J1654" s="211">
        <v>1.3553404963334501</v>
      </c>
      <c r="K1654" s="288">
        <v>2416.5721049625499</v>
      </c>
    </row>
    <row r="1655" spans="2:11" x14ac:dyDescent="0.2">
      <c r="B1655">
        <v>21</v>
      </c>
      <c r="C1655">
        <v>5226</v>
      </c>
      <c r="D1655" s="308" t="s">
        <v>2227</v>
      </c>
      <c r="E1655" s="291">
        <v>6603</v>
      </c>
      <c r="F1655" s="291">
        <v>1425</v>
      </c>
      <c r="G1655" s="291">
        <v>3384</v>
      </c>
      <c r="H1655" s="287">
        <v>0.21581099500227199</v>
      </c>
      <c r="I1655" s="211">
        <v>2.37234042553191</v>
      </c>
      <c r="J1655" s="211">
        <v>-0.27899436799083999</v>
      </c>
      <c r="K1655" s="288">
        <v>-1842.1998118435199</v>
      </c>
    </row>
    <row r="1656" spans="2:11" x14ac:dyDescent="0.2">
      <c r="B1656">
        <v>21</v>
      </c>
      <c r="C1656">
        <v>5227</v>
      </c>
      <c r="D1656" s="308" t="s">
        <v>2228</v>
      </c>
      <c r="E1656" s="291">
        <v>3066</v>
      </c>
      <c r="F1656" s="291">
        <v>1790</v>
      </c>
      <c r="G1656" s="291">
        <v>521</v>
      </c>
      <c r="H1656" s="287">
        <v>0.58382257012394001</v>
      </c>
      <c r="I1656" s="211">
        <v>9.3205374280230302</v>
      </c>
      <c r="J1656" s="211">
        <v>0.29539187681359003</v>
      </c>
      <c r="K1656" s="288">
        <v>905.67149431046801</v>
      </c>
    </row>
    <row r="1657" spans="2:11" x14ac:dyDescent="0.2">
      <c r="B1657">
        <v>21</v>
      </c>
      <c r="C1657">
        <v>5230</v>
      </c>
      <c r="D1657" s="308" t="s">
        <v>2229</v>
      </c>
      <c r="E1657" s="291">
        <v>582</v>
      </c>
      <c r="F1657" s="291">
        <v>54</v>
      </c>
      <c r="G1657" s="291">
        <v>149</v>
      </c>
      <c r="H1657" s="287">
        <v>9.2783505154639206E-2</v>
      </c>
      <c r="I1657" s="211">
        <v>4.2684563758389302</v>
      </c>
      <c r="J1657" s="211">
        <v>-0.59232466052714405</v>
      </c>
      <c r="K1657" s="288">
        <v>-344.73295242679802</v>
      </c>
    </row>
    <row r="1658" spans="2:11" x14ac:dyDescent="0.2">
      <c r="B1658">
        <v>21</v>
      </c>
      <c r="C1658">
        <v>5231</v>
      </c>
      <c r="D1658" s="308" t="s">
        <v>2230</v>
      </c>
      <c r="E1658" s="291">
        <v>1971</v>
      </c>
      <c r="F1658" s="291">
        <v>1069</v>
      </c>
      <c r="G1658" s="291">
        <v>138</v>
      </c>
      <c r="H1658" s="287">
        <v>0.54236428209030996</v>
      </c>
      <c r="I1658" s="211">
        <v>22.0289855072464</v>
      </c>
      <c r="J1658" s="211">
        <v>0.66584920978197104</v>
      </c>
      <c r="K1658" s="288">
        <v>1312.38879248026</v>
      </c>
    </row>
    <row r="1659" spans="2:11" x14ac:dyDescent="0.2">
      <c r="B1659">
        <v>21</v>
      </c>
      <c r="C1659">
        <v>5233</v>
      </c>
      <c r="D1659" s="308" t="s">
        <v>2231</v>
      </c>
      <c r="E1659" s="291">
        <v>382</v>
      </c>
      <c r="F1659" s="291">
        <v>155</v>
      </c>
      <c r="G1659" s="291">
        <v>195</v>
      </c>
      <c r="H1659" s="287">
        <v>0.40575916230366499</v>
      </c>
      <c r="I1659" s="211">
        <v>2.7538461538461498</v>
      </c>
      <c r="J1659" s="211">
        <v>-0.26739920417612001</v>
      </c>
      <c r="K1659" s="288">
        <v>-102.146495995278</v>
      </c>
    </row>
    <row r="1660" spans="2:11" x14ac:dyDescent="0.2">
      <c r="B1660">
        <v>21</v>
      </c>
      <c r="C1660">
        <v>5236</v>
      </c>
      <c r="D1660" s="308" t="s">
        <v>2232</v>
      </c>
      <c r="E1660" s="291">
        <v>4656</v>
      </c>
      <c r="F1660" s="291">
        <v>2152</v>
      </c>
      <c r="G1660" s="291">
        <v>607</v>
      </c>
      <c r="H1660" s="287">
        <v>0.46219931271477699</v>
      </c>
      <c r="I1660" s="211">
        <v>11.2158154859967</v>
      </c>
      <c r="J1660" s="211">
        <v>0.274583360469838</v>
      </c>
      <c r="K1660" s="288">
        <v>1278.4601263475699</v>
      </c>
    </row>
    <row r="1661" spans="2:11" x14ac:dyDescent="0.2">
      <c r="B1661">
        <v>21</v>
      </c>
      <c r="C1661">
        <v>5237</v>
      </c>
      <c r="D1661" s="308" t="s">
        <v>2233</v>
      </c>
      <c r="E1661" s="291">
        <v>1414</v>
      </c>
      <c r="F1661" s="291">
        <v>189</v>
      </c>
      <c r="G1661" s="291">
        <v>1927</v>
      </c>
      <c r="H1661" s="287">
        <v>0.133663366336634</v>
      </c>
      <c r="I1661" s="211">
        <v>0.83186299948105902</v>
      </c>
      <c r="J1661" s="211">
        <v>-0.63526233542236898</v>
      </c>
      <c r="K1661" s="288">
        <v>-898.260942287229</v>
      </c>
    </row>
    <row r="1662" spans="2:11" x14ac:dyDescent="0.2">
      <c r="B1662">
        <v>21</v>
      </c>
      <c r="C1662">
        <v>5238</v>
      </c>
      <c r="D1662" s="308" t="s">
        <v>2234</v>
      </c>
      <c r="E1662" s="291">
        <v>4655</v>
      </c>
      <c r="F1662" s="291">
        <v>2891</v>
      </c>
      <c r="G1662" s="291">
        <v>3415</v>
      </c>
      <c r="H1662" s="287">
        <v>0.62105263157894697</v>
      </c>
      <c r="I1662" s="211">
        <v>2.2096632503660301</v>
      </c>
      <c r="J1662" s="211">
        <v>0.142799183153557</v>
      </c>
      <c r="K1662" s="288">
        <v>664.73019757980899</v>
      </c>
    </row>
    <row r="1663" spans="2:11" x14ac:dyDescent="0.2">
      <c r="B1663">
        <v>21</v>
      </c>
      <c r="C1663">
        <v>5242</v>
      </c>
      <c r="D1663" s="308" t="s">
        <v>2235</v>
      </c>
      <c r="E1663" s="291">
        <v>3385</v>
      </c>
      <c r="F1663" s="291">
        <v>4115</v>
      </c>
      <c r="G1663" s="291">
        <v>249</v>
      </c>
      <c r="H1663" s="287">
        <v>1.21565731166913</v>
      </c>
      <c r="I1663" s="211">
        <v>30.120481927710799</v>
      </c>
      <c r="J1663" s="211">
        <v>1.8494178848018901</v>
      </c>
      <c r="K1663" s="288">
        <v>6260.2795400543901</v>
      </c>
    </row>
    <row r="1664" spans="2:11" x14ac:dyDescent="0.2">
      <c r="B1664">
        <v>21</v>
      </c>
      <c r="C1664">
        <v>5249</v>
      </c>
      <c r="D1664" s="308" t="s">
        <v>2236</v>
      </c>
      <c r="E1664" s="291">
        <v>2131</v>
      </c>
      <c r="F1664" s="291">
        <v>1303</v>
      </c>
      <c r="G1664" s="291">
        <v>1157</v>
      </c>
      <c r="H1664" s="287">
        <v>0.61145002346316302</v>
      </c>
      <c r="I1664" s="211">
        <v>2.9680207433016399</v>
      </c>
      <c r="J1664" s="211">
        <v>6.2128102587603699E-2</v>
      </c>
      <c r="K1664" s="288">
        <v>132.39498661418301</v>
      </c>
    </row>
    <row r="1665" spans="2:11" x14ac:dyDescent="0.2">
      <c r="B1665">
        <v>21</v>
      </c>
      <c r="C1665">
        <v>5250</v>
      </c>
      <c r="D1665" s="308" t="s">
        <v>2237</v>
      </c>
      <c r="E1665" s="291">
        <v>8331</v>
      </c>
      <c r="F1665" s="291">
        <v>10300</v>
      </c>
      <c r="G1665" s="291">
        <v>528</v>
      </c>
      <c r="H1665" s="287">
        <v>1.2363461769295401</v>
      </c>
      <c r="I1665" s="211">
        <v>35.285984848484901</v>
      </c>
      <c r="J1665" s="211">
        <v>2.2525032511655199</v>
      </c>
      <c r="K1665" s="288">
        <v>18765.6045854599</v>
      </c>
    </row>
    <row r="1666" spans="2:11" x14ac:dyDescent="0.2">
      <c r="B1666">
        <v>21</v>
      </c>
      <c r="C1666">
        <v>5251</v>
      </c>
      <c r="D1666" s="308" t="s">
        <v>2238</v>
      </c>
      <c r="E1666" s="291">
        <v>2892</v>
      </c>
      <c r="F1666" s="291">
        <v>934</v>
      </c>
      <c r="G1666" s="291">
        <v>248</v>
      </c>
      <c r="H1666" s="287">
        <v>0.32295988934993097</v>
      </c>
      <c r="I1666" s="211">
        <v>15.427419354838699</v>
      </c>
      <c r="J1666" s="211">
        <v>0.18830258288367799</v>
      </c>
      <c r="K1666" s="288">
        <v>544.57106969959602</v>
      </c>
    </row>
    <row r="1667" spans="2:11" x14ac:dyDescent="0.2">
      <c r="B1667">
        <v>21</v>
      </c>
      <c r="C1667">
        <v>5254</v>
      </c>
      <c r="D1667" s="308" t="s">
        <v>2239</v>
      </c>
      <c r="E1667" s="291">
        <v>15110</v>
      </c>
      <c r="F1667" s="291">
        <v>16173</v>
      </c>
      <c r="G1667" s="291">
        <v>3138</v>
      </c>
      <c r="H1667" s="287">
        <v>1.07035076108537</v>
      </c>
      <c r="I1667" s="211">
        <v>9.9690885914595295</v>
      </c>
      <c r="J1667" s="211">
        <v>1.38213754098405</v>
      </c>
      <c r="K1667" s="288">
        <v>20884.098244269098</v>
      </c>
    </row>
    <row r="1668" spans="2:11" x14ac:dyDescent="0.2">
      <c r="B1668">
        <v>21</v>
      </c>
      <c r="C1668">
        <v>5257</v>
      </c>
      <c r="D1668" s="308" t="s">
        <v>2240</v>
      </c>
      <c r="E1668" s="291">
        <v>4597</v>
      </c>
      <c r="F1668" s="291">
        <v>1584</v>
      </c>
      <c r="G1668" s="291">
        <v>222</v>
      </c>
      <c r="H1668" s="287">
        <v>0.34457254731346498</v>
      </c>
      <c r="I1668" s="211">
        <v>27.842342342342299</v>
      </c>
      <c r="J1668" s="211">
        <v>0.73319236259773801</v>
      </c>
      <c r="K1668" s="288">
        <v>3370.4852908618</v>
      </c>
    </row>
    <row r="1669" spans="2:11" x14ac:dyDescent="0.2">
      <c r="B1669">
        <v>21</v>
      </c>
      <c r="C1669">
        <v>5260</v>
      </c>
      <c r="D1669" s="308" t="s">
        <v>2241</v>
      </c>
      <c r="E1669" s="291">
        <v>2398</v>
      </c>
      <c r="F1669" s="291">
        <v>1809</v>
      </c>
      <c r="G1669" s="291">
        <v>518</v>
      </c>
      <c r="H1669" s="287">
        <v>0.75437864887406203</v>
      </c>
      <c r="I1669" s="211">
        <v>8.1216216216216193</v>
      </c>
      <c r="J1669" s="211">
        <v>0.437472241064704</v>
      </c>
      <c r="K1669" s="288">
        <v>1049.05843407316</v>
      </c>
    </row>
    <row r="1670" spans="2:11" x14ac:dyDescent="0.2">
      <c r="B1670">
        <v>21</v>
      </c>
      <c r="C1670">
        <v>5263</v>
      </c>
      <c r="D1670" s="308" t="s">
        <v>2242</v>
      </c>
      <c r="E1670" s="291">
        <v>2627</v>
      </c>
      <c r="F1670" s="291">
        <v>950</v>
      </c>
      <c r="G1670" s="291">
        <v>599</v>
      </c>
      <c r="H1670" s="287">
        <v>0.36162923486867099</v>
      </c>
      <c r="I1670" s="211">
        <v>5.9716193656093504</v>
      </c>
      <c r="J1670" s="211">
        <v>-0.118902055650095</v>
      </c>
      <c r="K1670" s="288">
        <v>-312.35570019280101</v>
      </c>
    </row>
    <row r="1671" spans="2:11" x14ac:dyDescent="0.2">
      <c r="B1671">
        <v>21</v>
      </c>
      <c r="C1671">
        <v>5266</v>
      </c>
      <c r="D1671" s="308" t="s">
        <v>2243</v>
      </c>
      <c r="E1671" s="291">
        <v>4627</v>
      </c>
      <c r="F1671" s="291">
        <v>5869</v>
      </c>
      <c r="G1671" s="291">
        <v>607</v>
      </c>
      <c r="H1671" s="287">
        <v>1.26842446509617</v>
      </c>
      <c r="I1671" s="211">
        <v>17.2915980230642</v>
      </c>
      <c r="J1671" s="211">
        <v>1.4941967586990299</v>
      </c>
      <c r="K1671" s="288">
        <v>6913.6484025004002</v>
      </c>
    </row>
    <row r="1672" spans="2:11" x14ac:dyDescent="0.2">
      <c r="B1672">
        <v>21</v>
      </c>
      <c r="C1672">
        <v>5268</v>
      </c>
      <c r="D1672" s="308" t="s">
        <v>2244</v>
      </c>
      <c r="E1672" s="291">
        <v>3407</v>
      </c>
      <c r="F1672" s="291">
        <v>570</v>
      </c>
      <c r="G1672" s="291">
        <v>165</v>
      </c>
      <c r="H1672" s="287">
        <v>0.16730261226885801</v>
      </c>
      <c r="I1672" s="211">
        <v>24.103030303030302</v>
      </c>
      <c r="J1672" s="211">
        <v>0.33162698147172698</v>
      </c>
      <c r="K1672" s="288">
        <v>1129.85312587417</v>
      </c>
    </row>
    <row r="1673" spans="2:11" x14ac:dyDescent="0.2">
      <c r="B1673">
        <v>21</v>
      </c>
      <c r="C1673">
        <v>5269</v>
      </c>
      <c r="D1673" s="308" t="s">
        <v>2245</v>
      </c>
      <c r="E1673" s="291">
        <v>2059</v>
      </c>
      <c r="F1673" s="291">
        <v>260</v>
      </c>
      <c r="G1673" s="291">
        <v>2539</v>
      </c>
      <c r="H1673" s="287">
        <v>0.126274890723652</v>
      </c>
      <c r="I1673" s="211">
        <v>0.91335171327294196</v>
      </c>
      <c r="J1673" s="211">
        <v>-0.61679962930741705</v>
      </c>
      <c r="K1673" s="288">
        <v>-1269.9904367439699</v>
      </c>
    </row>
    <row r="1674" spans="2:11" x14ac:dyDescent="0.2">
      <c r="B1674">
        <v>21</v>
      </c>
      <c r="C1674">
        <v>5281</v>
      </c>
      <c r="D1674" s="308" t="s">
        <v>2246</v>
      </c>
      <c r="E1674" s="291">
        <v>6176</v>
      </c>
      <c r="F1674" s="291">
        <v>3077</v>
      </c>
      <c r="G1674" s="291">
        <v>3694</v>
      </c>
      <c r="H1674" s="287">
        <v>0.498218911917098</v>
      </c>
      <c r="I1674" s="211">
        <v>2.5048727666486199</v>
      </c>
      <c r="J1674" s="211">
        <v>5.9475424125874699E-2</v>
      </c>
      <c r="K1674" s="288">
        <v>367.32021940140203</v>
      </c>
    </row>
    <row r="1675" spans="2:11" x14ac:dyDescent="0.2">
      <c r="B1675">
        <v>21</v>
      </c>
      <c r="C1675">
        <v>5282</v>
      </c>
      <c r="D1675" s="308" t="s">
        <v>2247</v>
      </c>
      <c r="E1675" s="291">
        <v>2921</v>
      </c>
      <c r="F1675" s="291">
        <v>526</v>
      </c>
      <c r="G1675" s="291">
        <v>1889</v>
      </c>
      <c r="H1675" s="287">
        <v>0.180075316672372</v>
      </c>
      <c r="I1675" s="211">
        <v>1.82477501323452</v>
      </c>
      <c r="J1675" s="211">
        <v>-0.48394204213118702</v>
      </c>
      <c r="K1675" s="288">
        <v>-1413.5947050652001</v>
      </c>
    </row>
    <row r="1676" spans="2:11" x14ac:dyDescent="0.2">
      <c r="B1676">
        <v>21</v>
      </c>
      <c r="C1676">
        <v>5283</v>
      </c>
      <c r="D1676" s="308" t="s">
        <v>2248</v>
      </c>
      <c r="E1676" s="291">
        <v>723</v>
      </c>
      <c r="F1676" s="291">
        <v>126</v>
      </c>
      <c r="G1676" s="291">
        <v>1226</v>
      </c>
      <c r="H1676" s="287">
        <v>0.17427385892116201</v>
      </c>
      <c r="I1676" s="211">
        <v>0.69249592169657403</v>
      </c>
      <c r="J1676" s="211">
        <v>-0.61642684868883801</v>
      </c>
      <c r="K1676" s="288">
        <v>-445.67661160202999</v>
      </c>
    </row>
    <row r="1677" spans="2:11" x14ac:dyDescent="0.2">
      <c r="B1677">
        <v>21</v>
      </c>
      <c r="C1677">
        <v>5284</v>
      </c>
      <c r="D1677" s="308" t="s">
        <v>2249</v>
      </c>
      <c r="E1677" s="291">
        <v>561</v>
      </c>
      <c r="F1677" s="291">
        <v>94</v>
      </c>
      <c r="G1677" s="291">
        <v>1498</v>
      </c>
      <c r="H1677" s="287">
        <v>0.16755793226381499</v>
      </c>
      <c r="I1677" s="211">
        <v>0.43724966622162897</v>
      </c>
      <c r="J1677" s="211">
        <v>-0.64025163010250896</v>
      </c>
      <c r="K1677" s="288">
        <v>-359.181164487508</v>
      </c>
    </row>
    <row r="1678" spans="2:11" x14ac:dyDescent="0.2">
      <c r="B1678">
        <v>21</v>
      </c>
      <c r="C1678">
        <v>5285</v>
      </c>
      <c r="D1678" s="308" t="s">
        <v>2250</v>
      </c>
      <c r="E1678" s="291">
        <v>1779</v>
      </c>
      <c r="F1678" s="291">
        <v>778</v>
      </c>
      <c r="G1678" s="291">
        <v>2565</v>
      </c>
      <c r="H1678" s="287">
        <v>0.43732433951658201</v>
      </c>
      <c r="I1678" s="211">
        <v>0.99688109161793403</v>
      </c>
      <c r="J1678" s="211">
        <v>-0.23900936881332499</v>
      </c>
      <c r="K1678" s="288">
        <v>-425.19766711890497</v>
      </c>
    </row>
    <row r="1679" spans="2:11" x14ac:dyDescent="0.2">
      <c r="B1679">
        <v>21</v>
      </c>
      <c r="C1679">
        <v>5286</v>
      </c>
      <c r="D1679" s="308" t="s">
        <v>2251</v>
      </c>
      <c r="E1679" s="291">
        <v>1069</v>
      </c>
      <c r="F1679" s="291">
        <v>285</v>
      </c>
      <c r="G1679" s="291">
        <v>1342</v>
      </c>
      <c r="H1679" s="287">
        <v>0.26660430308699701</v>
      </c>
      <c r="I1679" s="211">
        <v>1.00894187779434</v>
      </c>
      <c r="J1679" s="211">
        <v>-0.47724820056815798</v>
      </c>
      <c r="K1679" s="288">
        <v>-510.178326407361</v>
      </c>
    </row>
    <row r="1680" spans="2:11" x14ac:dyDescent="0.2">
      <c r="B1680">
        <v>21</v>
      </c>
      <c r="C1680">
        <v>5304</v>
      </c>
      <c r="D1680" s="308" t="s">
        <v>2252</v>
      </c>
      <c r="E1680" s="291">
        <v>55</v>
      </c>
      <c r="F1680" s="291">
        <v>57</v>
      </c>
      <c r="G1680" s="291">
        <v>1231</v>
      </c>
      <c r="H1680" s="287">
        <v>1.0363636363636399</v>
      </c>
      <c r="I1680" s="211">
        <v>9.0982940698618994E-2</v>
      </c>
      <c r="J1680" s="211">
        <v>0.40437364702109302</v>
      </c>
      <c r="K1680" s="288">
        <v>22.240550586160101</v>
      </c>
    </row>
    <row r="1681" spans="2:11" x14ac:dyDescent="0.2">
      <c r="B1681">
        <v>21</v>
      </c>
      <c r="C1681">
        <v>5307</v>
      </c>
      <c r="D1681" s="308" t="s">
        <v>2253</v>
      </c>
      <c r="E1681" s="291">
        <v>56</v>
      </c>
      <c r="F1681" s="291">
        <v>35</v>
      </c>
      <c r="G1681" s="291">
        <v>2575</v>
      </c>
      <c r="H1681" s="287">
        <v>0.625</v>
      </c>
      <c r="I1681" s="211">
        <v>3.5339805825242702E-2</v>
      </c>
      <c r="J1681" s="211">
        <v>-0.107365365042749</v>
      </c>
      <c r="K1681" s="288">
        <v>-6.0124604423939498</v>
      </c>
    </row>
    <row r="1682" spans="2:11" x14ac:dyDescent="0.2">
      <c r="B1682">
        <v>21</v>
      </c>
      <c r="C1682">
        <v>5309</v>
      </c>
      <c r="D1682" s="308" t="s">
        <v>2254</v>
      </c>
      <c r="E1682" s="291">
        <v>51</v>
      </c>
      <c r="F1682" s="291">
        <v>27</v>
      </c>
      <c r="G1682" s="291">
        <v>1569</v>
      </c>
      <c r="H1682" s="287">
        <v>0.52941176470588203</v>
      </c>
      <c r="I1682" s="211">
        <v>4.9713193116634802E-2</v>
      </c>
      <c r="J1682" s="211">
        <v>-0.22548151065855601</v>
      </c>
      <c r="K1682" s="288">
        <v>-11.4995570435863</v>
      </c>
    </row>
    <row r="1683" spans="2:11" x14ac:dyDescent="0.2">
      <c r="B1683">
        <v>21</v>
      </c>
      <c r="C1683">
        <v>5310</v>
      </c>
      <c r="D1683" s="308" t="s">
        <v>2255</v>
      </c>
      <c r="E1683" s="291">
        <v>1177</v>
      </c>
      <c r="F1683" s="291">
        <v>635</v>
      </c>
      <c r="G1683" s="291">
        <v>6665</v>
      </c>
      <c r="H1683" s="287">
        <v>0.53950722175021204</v>
      </c>
      <c r="I1683" s="211">
        <v>0.27186796699174798</v>
      </c>
      <c r="J1683" s="211">
        <v>-0.16184235722145399</v>
      </c>
      <c r="K1683" s="288">
        <v>-190.48845444965099</v>
      </c>
    </row>
    <row r="1684" spans="2:11" x14ac:dyDescent="0.2">
      <c r="B1684">
        <v>21</v>
      </c>
      <c r="C1684">
        <v>5315</v>
      </c>
      <c r="D1684" s="308" t="s">
        <v>2256</v>
      </c>
      <c r="E1684" s="291">
        <v>45</v>
      </c>
      <c r="F1684" s="291">
        <v>13</v>
      </c>
      <c r="G1684" s="291">
        <v>491</v>
      </c>
      <c r="H1684" s="287">
        <v>0.28888888888888897</v>
      </c>
      <c r="I1684" s="211">
        <v>0.118126272912424</v>
      </c>
      <c r="J1684" s="211">
        <v>-0.52126202699833202</v>
      </c>
      <c r="K1684" s="288">
        <v>-23.456791214925001</v>
      </c>
    </row>
    <row r="1685" spans="2:11" x14ac:dyDescent="0.2">
      <c r="B1685">
        <v>21</v>
      </c>
      <c r="C1685">
        <v>5317</v>
      </c>
      <c r="D1685" s="308" t="s">
        <v>2257</v>
      </c>
      <c r="E1685" s="291">
        <v>2592</v>
      </c>
      <c r="F1685" s="291">
        <v>653</v>
      </c>
      <c r="G1685" s="291">
        <v>8524</v>
      </c>
      <c r="H1685" s="287">
        <v>0.25192901234567899</v>
      </c>
      <c r="I1685" s="211">
        <v>0.38068981698733001</v>
      </c>
      <c r="J1685" s="211">
        <v>-0.46016217755927102</v>
      </c>
      <c r="K1685" s="288">
        <v>-1192.7403642336301</v>
      </c>
    </row>
    <row r="1686" spans="2:11" x14ac:dyDescent="0.2">
      <c r="B1686">
        <v>21</v>
      </c>
      <c r="C1686">
        <v>5323</v>
      </c>
      <c r="D1686" s="308" t="s">
        <v>2258</v>
      </c>
      <c r="E1686" s="291">
        <v>569</v>
      </c>
      <c r="F1686" s="291">
        <v>232</v>
      </c>
      <c r="G1686" s="291">
        <v>8746</v>
      </c>
      <c r="H1686" s="287">
        <v>0.40773286467486802</v>
      </c>
      <c r="I1686" s="211">
        <v>9.1584724445460799E-2</v>
      </c>
      <c r="J1686" s="211">
        <v>-0.35494144468389199</v>
      </c>
      <c r="K1686" s="288">
        <v>-201.96168202513499</v>
      </c>
    </row>
    <row r="1687" spans="2:11" x14ac:dyDescent="0.2">
      <c r="B1687">
        <v>21</v>
      </c>
      <c r="C1687">
        <v>5324</v>
      </c>
      <c r="D1687" s="308" t="s">
        <v>2259</v>
      </c>
      <c r="E1687" s="291">
        <v>1479</v>
      </c>
      <c r="F1687" s="291">
        <v>346</v>
      </c>
      <c r="G1687" s="291">
        <v>2165</v>
      </c>
      <c r="H1687" s="287">
        <v>0.23394185260311001</v>
      </c>
      <c r="I1687" s="211">
        <v>0.84295612009237897</v>
      </c>
      <c r="J1687" s="211">
        <v>-0.50811248003458098</v>
      </c>
      <c r="K1687" s="288">
        <v>-751.49835797114599</v>
      </c>
    </row>
    <row r="1688" spans="2:11" x14ac:dyDescent="0.2">
      <c r="B1688">
        <v>21</v>
      </c>
      <c r="C1688">
        <v>5396</v>
      </c>
      <c r="D1688" s="308" t="s">
        <v>2260</v>
      </c>
      <c r="E1688" s="291">
        <v>2608</v>
      </c>
      <c r="F1688" s="291">
        <v>656</v>
      </c>
      <c r="G1688" s="291">
        <v>1000</v>
      </c>
      <c r="H1688" s="287">
        <v>0.251533742331288</v>
      </c>
      <c r="I1688" s="211">
        <v>3.2639999999999998</v>
      </c>
      <c r="J1688" s="211">
        <v>-0.354842468987976</v>
      </c>
      <c r="K1688" s="288">
        <v>-925.42915912063995</v>
      </c>
    </row>
    <row r="1689" spans="2:11" x14ac:dyDescent="0.2">
      <c r="B1689">
        <v>21</v>
      </c>
      <c r="C1689">
        <v>5397</v>
      </c>
      <c r="D1689" s="308" t="s">
        <v>2261</v>
      </c>
      <c r="E1689" s="291">
        <v>1183</v>
      </c>
      <c r="F1689" s="291">
        <v>410</v>
      </c>
      <c r="G1689" s="291">
        <v>4556</v>
      </c>
      <c r="H1689" s="287">
        <v>0.34657650042265398</v>
      </c>
      <c r="I1689" s="211">
        <v>0.34964881474977999</v>
      </c>
      <c r="J1689" s="211">
        <v>-0.39784808338125899</v>
      </c>
      <c r="K1689" s="288">
        <v>-470.65428264002901</v>
      </c>
    </row>
    <row r="1690" spans="2:11" x14ac:dyDescent="0.2">
      <c r="B1690">
        <v>21</v>
      </c>
      <c r="C1690">
        <v>5398</v>
      </c>
      <c r="D1690" s="308" t="s">
        <v>2262</v>
      </c>
      <c r="E1690" s="291">
        <v>5154</v>
      </c>
      <c r="F1690" s="291">
        <v>2193</v>
      </c>
      <c r="G1690" s="291">
        <v>4837</v>
      </c>
      <c r="H1690" s="287">
        <v>0.42549476135040698</v>
      </c>
      <c r="I1690" s="211">
        <v>1.5189166838949799</v>
      </c>
      <c r="J1690" s="211">
        <v>-0.10566462310015499</v>
      </c>
      <c r="K1690" s="288">
        <v>-544.59546745819796</v>
      </c>
    </row>
    <row r="1691" spans="2:11" x14ac:dyDescent="0.2">
      <c r="B1691">
        <v>22</v>
      </c>
      <c r="C1691">
        <v>5401</v>
      </c>
      <c r="D1691" s="308" t="s">
        <v>2263</v>
      </c>
      <c r="E1691" s="291">
        <v>9961</v>
      </c>
      <c r="F1691" s="291">
        <v>6068</v>
      </c>
      <c r="G1691" s="291">
        <v>1585</v>
      </c>
      <c r="H1691" s="287">
        <v>0.609175785563698</v>
      </c>
      <c r="I1691" s="211">
        <v>10.112933753943199</v>
      </c>
      <c r="J1691" s="211">
        <v>0.61917370660515003</v>
      </c>
      <c r="K1691" s="288">
        <v>6167.5892914939004</v>
      </c>
    </row>
    <row r="1692" spans="2:11" x14ac:dyDescent="0.2">
      <c r="B1692">
        <v>22</v>
      </c>
      <c r="C1692">
        <v>5402</v>
      </c>
      <c r="D1692" s="308" t="s">
        <v>2264</v>
      </c>
      <c r="E1692" s="291">
        <v>7608</v>
      </c>
      <c r="F1692" s="291">
        <v>2535</v>
      </c>
      <c r="G1692" s="291">
        <v>6359</v>
      </c>
      <c r="H1692" s="287">
        <v>0.33320189274447898</v>
      </c>
      <c r="I1692" s="211">
        <v>1.5950621166850101</v>
      </c>
      <c r="J1692" s="211">
        <v>-0.123486417246881</v>
      </c>
      <c r="K1692" s="288">
        <v>-939.48466241427002</v>
      </c>
    </row>
    <row r="1693" spans="2:11" x14ac:dyDescent="0.2">
      <c r="B1693">
        <v>22</v>
      </c>
      <c r="C1693">
        <v>5403</v>
      </c>
      <c r="D1693" s="308" t="s">
        <v>2265</v>
      </c>
      <c r="E1693" s="291">
        <v>395</v>
      </c>
      <c r="F1693" s="291">
        <v>115</v>
      </c>
      <c r="G1693" s="291">
        <v>331</v>
      </c>
      <c r="H1693" s="287">
        <v>0.291139240506329</v>
      </c>
      <c r="I1693" s="211">
        <v>1.54078549848943</v>
      </c>
      <c r="J1693" s="211">
        <v>-0.45319414493286603</v>
      </c>
      <c r="K1693" s="288">
        <v>-179.01168724848199</v>
      </c>
    </row>
    <row r="1694" spans="2:11" x14ac:dyDescent="0.2">
      <c r="B1694">
        <v>22</v>
      </c>
      <c r="C1694">
        <v>5404</v>
      </c>
      <c r="D1694" s="308" t="s">
        <v>2266</v>
      </c>
      <c r="E1694" s="291">
        <v>440</v>
      </c>
      <c r="F1694" s="291">
        <v>96</v>
      </c>
      <c r="G1694" s="291">
        <v>2046</v>
      </c>
      <c r="H1694" s="287">
        <v>0.218181818181818</v>
      </c>
      <c r="I1694" s="211">
        <v>0.26197458455522998</v>
      </c>
      <c r="J1694" s="211">
        <v>-0.58853861858751999</v>
      </c>
      <c r="K1694" s="288">
        <v>-258.95699217850898</v>
      </c>
    </row>
    <row r="1695" spans="2:11" x14ac:dyDescent="0.2">
      <c r="B1695">
        <v>22</v>
      </c>
      <c r="C1695">
        <v>5405</v>
      </c>
      <c r="D1695" s="308" t="s">
        <v>2267</v>
      </c>
      <c r="E1695" s="291">
        <v>1375</v>
      </c>
      <c r="F1695" s="291">
        <v>365</v>
      </c>
      <c r="G1695" s="291">
        <v>1399</v>
      </c>
      <c r="H1695" s="287">
        <v>0.265454545454545</v>
      </c>
      <c r="I1695" s="211">
        <v>1.2437455325232301</v>
      </c>
      <c r="J1695" s="211">
        <v>-0.45841398199309003</v>
      </c>
      <c r="K1695" s="288">
        <v>-630.31922524049901</v>
      </c>
    </row>
    <row r="1696" spans="2:11" x14ac:dyDescent="0.2">
      <c r="B1696">
        <v>22</v>
      </c>
      <c r="C1696">
        <v>5406</v>
      </c>
      <c r="D1696" s="308" t="s">
        <v>2268</v>
      </c>
      <c r="E1696" s="291">
        <v>926</v>
      </c>
      <c r="F1696" s="291">
        <v>336</v>
      </c>
      <c r="G1696" s="291">
        <v>1237</v>
      </c>
      <c r="H1696" s="287">
        <v>0.36285097192224602</v>
      </c>
      <c r="I1696" s="211">
        <v>1.02021018593371</v>
      </c>
      <c r="J1696" s="211">
        <v>-0.36303560669984097</v>
      </c>
      <c r="K1696" s="288">
        <v>-336.17097180405301</v>
      </c>
    </row>
    <row r="1697" spans="2:11" x14ac:dyDescent="0.2">
      <c r="B1697">
        <v>22</v>
      </c>
      <c r="C1697">
        <v>5407</v>
      </c>
      <c r="D1697" s="308" t="s">
        <v>2269</v>
      </c>
      <c r="E1697" s="291">
        <v>4172</v>
      </c>
      <c r="F1697" s="291">
        <v>1450</v>
      </c>
      <c r="G1697" s="291">
        <v>1487</v>
      </c>
      <c r="H1697" s="287">
        <v>0.34755512943432398</v>
      </c>
      <c r="I1697" s="211">
        <v>3.7807666442501699</v>
      </c>
      <c r="J1697" s="211">
        <v>-0.157242261590746</v>
      </c>
      <c r="K1697" s="288">
        <v>-656.014715356593</v>
      </c>
    </row>
    <row r="1698" spans="2:11" x14ac:dyDescent="0.2">
      <c r="B1698">
        <v>22</v>
      </c>
      <c r="C1698">
        <v>5408</v>
      </c>
      <c r="D1698" s="308" t="s">
        <v>2270</v>
      </c>
      <c r="E1698" s="291">
        <v>1058</v>
      </c>
      <c r="F1698" s="291">
        <v>555</v>
      </c>
      <c r="G1698" s="291">
        <v>884</v>
      </c>
      <c r="H1698" s="287">
        <v>0.52457466918714601</v>
      </c>
      <c r="I1698" s="211">
        <v>1.82466063348416</v>
      </c>
      <c r="J1698" s="211">
        <v>-0.12823920999174099</v>
      </c>
      <c r="K1698" s="288">
        <v>-135.67708417126099</v>
      </c>
    </row>
    <row r="1699" spans="2:11" x14ac:dyDescent="0.2">
      <c r="B1699">
        <v>22</v>
      </c>
      <c r="C1699">
        <v>5409</v>
      </c>
      <c r="D1699" s="308" t="s">
        <v>2271</v>
      </c>
      <c r="E1699" s="291">
        <v>7503</v>
      </c>
      <c r="F1699" s="291">
        <v>2741</v>
      </c>
      <c r="G1699" s="291">
        <v>5738</v>
      </c>
      <c r="H1699" s="287">
        <v>0.36532053845128598</v>
      </c>
      <c r="I1699" s="211">
        <v>1.7852910421749699</v>
      </c>
      <c r="J1699" s="211">
        <v>-8.0757596033494805E-2</v>
      </c>
      <c r="K1699" s="288">
        <v>-605.92424303931205</v>
      </c>
    </row>
    <row r="1700" spans="2:11" x14ac:dyDescent="0.2">
      <c r="B1700">
        <v>22</v>
      </c>
      <c r="C1700">
        <v>5410</v>
      </c>
      <c r="D1700" s="308" t="s">
        <v>2272</v>
      </c>
      <c r="E1700" s="291">
        <v>1104</v>
      </c>
      <c r="F1700" s="291">
        <v>358</v>
      </c>
      <c r="G1700" s="291">
        <v>5635</v>
      </c>
      <c r="H1700" s="287">
        <v>0.32427536231884102</v>
      </c>
      <c r="I1700" s="211">
        <v>0.25944986690328298</v>
      </c>
      <c r="J1700" s="211">
        <v>-0.43179232934427297</v>
      </c>
      <c r="K1700" s="288">
        <v>-476.69873159607698</v>
      </c>
    </row>
    <row r="1701" spans="2:11" x14ac:dyDescent="0.2">
      <c r="B1701">
        <v>22</v>
      </c>
      <c r="C1701">
        <v>5411</v>
      </c>
      <c r="D1701" s="308" t="s">
        <v>2273</v>
      </c>
      <c r="E1701" s="291">
        <v>1477</v>
      </c>
      <c r="F1701" s="291">
        <v>682</v>
      </c>
      <c r="G1701" s="291">
        <v>4300</v>
      </c>
      <c r="H1701" s="287">
        <v>0.46174678402166602</v>
      </c>
      <c r="I1701" s="211">
        <v>0.50209302325581395</v>
      </c>
      <c r="J1701" s="211">
        <v>-0.23833765476959401</v>
      </c>
      <c r="K1701" s="288">
        <v>-352.02471609469001</v>
      </c>
    </row>
    <row r="1702" spans="2:11" x14ac:dyDescent="0.2">
      <c r="B1702">
        <v>22</v>
      </c>
      <c r="C1702">
        <v>5412</v>
      </c>
      <c r="D1702" s="308" t="s">
        <v>2274</v>
      </c>
      <c r="E1702" s="291">
        <v>853</v>
      </c>
      <c r="F1702" s="291">
        <v>528</v>
      </c>
      <c r="G1702" s="291">
        <v>217</v>
      </c>
      <c r="H1702" s="287">
        <v>0.61899179366940205</v>
      </c>
      <c r="I1702" s="211">
        <v>6.3640552995391699</v>
      </c>
      <c r="J1702" s="211">
        <v>0.14654690689364799</v>
      </c>
      <c r="K1702" s="288">
        <v>125.004511580282</v>
      </c>
    </row>
    <row r="1703" spans="2:11" x14ac:dyDescent="0.2">
      <c r="B1703">
        <v>22</v>
      </c>
      <c r="C1703">
        <v>5413</v>
      </c>
      <c r="D1703" s="308" t="s">
        <v>2275</v>
      </c>
      <c r="E1703" s="291">
        <v>1625</v>
      </c>
      <c r="F1703" s="291">
        <v>607</v>
      </c>
      <c r="G1703" s="291">
        <v>611</v>
      </c>
      <c r="H1703" s="287">
        <v>0.37353846153846199</v>
      </c>
      <c r="I1703" s="211">
        <v>3.6530278232405902</v>
      </c>
      <c r="J1703" s="211">
        <v>-0.22702474379398599</v>
      </c>
      <c r="K1703" s="288">
        <v>-368.91520866522802</v>
      </c>
    </row>
    <row r="1704" spans="2:11" x14ac:dyDescent="0.2">
      <c r="B1704">
        <v>22</v>
      </c>
      <c r="C1704">
        <v>5414</v>
      </c>
      <c r="D1704" s="308" t="s">
        <v>2276</v>
      </c>
      <c r="E1704" s="291">
        <v>5573</v>
      </c>
      <c r="F1704" s="291">
        <v>2965</v>
      </c>
      <c r="G1704" s="291">
        <v>2874</v>
      </c>
      <c r="H1704" s="287">
        <v>0.53202942759734395</v>
      </c>
      <c r="I1704" s="211">
        <v>2.9707724425887299</v>
      </c>
      <c r="J1704" s="211">
        <v>9.5330337831899106E-2</v>
      </c>
      <c r="K1704" s="288">
        <v>531.27597273717402</v>
      </c>
    </row>
    <row r="1705" spans="2:11" x14ac:dyDescent="0.2">
      <c r="B1705">
        <v>22</v>
      </c>
      <c r="C1705">
        <v>5415</v>
      </c>
      <c r="D1705" s="308" t="s">
        <v>2277</v>
      </c>
      <c r="E1705" s="291">
        <v>1058</v>
      </c>
      <c r="F1705" s="291">
        <v>475</v>
      </c>
      <c r="G1705" s="291">
        <v>1176</v>
      </c>
      <c r="H1705" s="287">
        <v>0.44896030245746699</v>
      </c>
      <c r="I1705" s="211">
        <v>1.3035714285714299</v>
      </c>
      <c r="J1705" s="211">
        <v>-0.24094986856464201</v>
      </c>
      <c r="K1705" s="288">
        <v>-254.92496094139099</v>
      </c>
    </row>
    <row r="1706" spans="2:11" x14ac:dyDescent="0.2">
      <c r="B1706">
        <v>22</v>
      </c>
      <c r="C1706">
        <v>5421</v>
      </c>
      <c r="D1706" s="308" t="s">
        <v>2278</v>
      </c>
      <c r="E1706" s="291">
        <v>1413</v>
      </c>
      <c r="F1706" s="291">
        <v>468</v>
      </c>
      <c r="G1706" s="291">
        <v>1292</v>
      </c>
      <c r="H1706" s="287">
        <v>0.33121019108280297</v>
      </c>
      <c r="I1706" s="211">
        <v>1.45588235294118</v>
      </c>
      <c r="J1706" s="211">
        <v>-0.36774012823339902</v>
      </c>
      <c r="K1706" s="288">
        <v>-519.61680119379196</v>
      </c>
    </row>
    <row r="1707" spans="2:11" x14ac:dyDescent="0.2">
      <c r="B1707">
        <v>22</v>
      </c>
      <c r="C1707">
        <v>5422</v>
      </c>
      <c r="D1707" s="308" t="s">
        <v>2279</v>
      </c>
      <c r="E1707" s="291">
        <v>3281</v>
      </c>
      <c r="F1707" s="291">
        <v>2835</v>
      </c>
      <c r="G1707" s="291">
        <v>933</v>
      </c>
      <c r="H1707" s="287">
        <v>0.86406583358732103</v>
      </c>
      <c r="I1707" s="211">
        <v>6.5551982851018202</v>
      </c>
      <c r="J1707" s="211">
        <v>0.54998035386272504</v>
      </c>
      <c r="K1707" s="288">
        <v>1804.4855410236</v>
      </c>
    </row>
    <row r="1708" spans="2:11" x14ac:dyDescent="0.2">
      <c r="B1708">
        <v>22</v>
      </c>
      <c r="C1708">
        <v>5423</v>
      </c>
      <c r="D1708" s="308" t="s">
        <v>2280</v>
      </c>
      <c r="E1708" s="291">
        <v>509</v>
      </c>
      <c r="F1708" s="291">
        <v>227</v>
      </c>
      <c r="G1708" s="291">
        <v>832</v>
      </c>
      <c r="H1708" s="287">
        <v>0.44597249508840903</v>
      </c>
      <c r="I1708" s="211">
        <v>0.88461538461538503</v>
      </c>
      <c r="J1708" s="211">
        <v>-0.28091494801143502</v>
      </c>
      <c r="K1708" s="288">
        <v>-142.98570853782101</v>
      </c>
    </row>
    <row r="1709" spans="2:11" x14ac:dyDescent="0.2">
      <c r="B1709">
        <v>22</v>
      </c>
      <c r="C1709">
        <v>5424</v>
      </c>
      <c r="D1709" s="308" t="s">
        <v>2281</v>
      </c>
      <c r="E1709" s="291">
        <v>302</v>
      </c>
      <c r="F1709" s="291">
        <v>40</v>
      </c>
      <c r="G1709" s="291">
        <v>961</v>
      </c>
      <c r="H1709" s="287">
        <v>0.13245033112582799</v>
      </c>
      <c r="I1709" s="211">
        <v>0.35587929240374599</v>
      </c>
      <c r="J1709" s="211">
        <v>-0.69662077811470302</v>
      </c>
      <c r="K1709" s="288">
        <v>-210.37947499064001</v>
      </c>
    </row>
    <row r="1710" spans="2:11" x14ac:dyDescent="0.2">
      <c r="B1710">
        <v>22</v>
      </c>
      <c r="C1710">
        <v>5425</v>
      </c>
      <c r="D1710" s="308" t="s">
        <v>2282</v>
      </c>
      <c r="E1710" s="291">
        <v>1551</v>
      </c>
      <c r="F1710" s="291">
        <v>580</v>
      </c>
      <c r="G1710" s="291">
        <v>2420</v>
      </c>
      <c r="H1710" s="287">
        <v>0.37395228884590598</v>
      </c>
      <c r="I1710" s="211">
        <v>0.88057851239669405</v>
      </c>
      <c r="J1710" s="211">
        <v>-0.33049282447863598</v>
      </c>
      <c r="K1710" s="288">
        <v>-512.59437076636402</v>
      </c>
    </row>
    <row r="1711" spans="2:11" x14ac:dyDescent="0.2">
      <c r="B1711">
        <v>22</v>
      </c>
      <c r="C1711">
        <v>5426</v>
      </c>
      <c r="D1711" s="308" t="s">
        <v>2283</v>
      </c>
      <c r="E1711" s="291">
        <v>472</v>
      </c>
      <c r="F1711" s="291">
        <v>145</v>
      </c>
      <c r="G1711" s="291">
        <v>178</v>
      </c>
      <c r="H1711" s="287">
        <v>0.30720338983050799</v>
      </c>
      <c r="I1711" s="211">
        <v>3.4662921348314599</v>
      </c>
      <c r="J1711" s="211">
        <v>-0.36009339457774397</v>
      </c>
      <c r="K1711" s="288">
        <v>-169.96408224069501</v>
      </c>
    </row>
    <row r="1712" spans="2:11" x14ac:dyDescent="0.2">
      <c r="B1712">
        <v>22</v>
      </c>
      <c r="C1712">
        <v>5427</v>
      </c>
      <c r="D1712" s="308" t="s">
        <v>2284</v>
      </c>
      <c r="E1712" s="291">
        <v>892</v>
      </c>
      <c r="F1712" s="291">
        <v>214</v>
      </c>
      <c r="G1712" s="291">
        <v>268</v>
      </c>
      <c r="H1712" s="287">
        <v>0.23991031390134501</v>
      </c>
      <c r="I1712" s="211">
        <v>4.1268656716417897</v>
      </c>
      <c r="J1712" s="211">
        <v>-0.403331424016385</v>
      </c>
      <c r="K1712" s="288">
        <v>-359.77163022261601</v>
      </c>
    </row>
    <row r="1713" spans="2:11" x14ac:dyDescent="0.2">
      <c r="B1713">
        <v>22</v>
      </c>
      <c r="C1713">
        <v>5428</v>
      </c>
      <c r="D1713" s="308" t="s">
        <v>2285</v>
      </c>
      <c r="E1713" s="291">
        <v>1951</v>
      </c>
      <c r="F1713" s="291">
        <v>625</v>
      </c>
      <c r="G1713" s="291">
        <v>1882</v>
      </c>
      <c r="H1713" s="287">
        <v>0.32034853921066098</v>
      </c>
      <c r="I1713" s="211">
        <v>1.3687566418703501</v>
      </c>
      <c r="J1713" s="211">
        <v>-0.363821602621127</v>
      </c>
      <c r="K1713" s="288">
        <v>-709.81594671381902</v>
      </c>
    </row>
    <row r="1714" spans="2:11" x14ac:dyDescent="0.2">
      <c r="B1714">
        <v>22</v>
      </c>
      <c r="C1714">
        <v>5429</v>
      </c>
      <c r="D1714" s="308" t="s">
        <v>2286</v>
      </c>
      <c r="E1714" s="291">
        <v>458</v>
      </c>
      <c r="F1714" s="291">
        <v>72</v>
      </c>
      <c r="G1714" s="291">
        <v>944</v>
      </c>
      <c r="H1714" s="287">
        <v>0.157205240174672</v>
      </c>
      <c r="I1714" s="211">
        <v>0.56144067796610198</v>
      </c>
      <c r="J1714" s="211">
        <v>-0.65248475589047095</v>
      </c>
      <c r="K1714" s="288">
        <v>-298.83801819783599</v>
      </c>
    </row>
    <row r="1715" spans="2:11" x14ac:dyDescent="0.2">
      <c r="B1715">
        <v>22</v>
      </c>
      <c r="C1715">
        <v>5430</v>
      </c>
      <c r="D1715" s="308" t="s">
        <v>2287</v>
      </c>
      <c r="E1715" s="291">
        <v>435</v>
      </c>
      <c r="F1715" s="291">
        <v>81</v>
      </c>
      <c r="G1715" s="291">
        <v>1193</v>
      </c>
      <c r="H1715" s="287">
        <v>0.18620689655172401</v>
      </c>
      <c r="I1715" s="211">
        <v>0.432523051131601</v>
      </c>
      <c r="J1715" s="211">
        <v>-0.62212934681602905</v>
      </c>
      <c r="K1715" s="288">
        <v>-270.62626586497299</v>
      </c>
    </row>
    <row r="1716" spans="2:11" x14ac:dyDescent="0.2">
      <c r="B1716">
        <v>22</v>
      </c>
      <c r="C1716">
        <v>5431</v>
      </c>
      <c r="D1716" s="308" t="s">
        <v>2288</v>
      </c>
      <c r="E1716" s="291">
        <v>293</v>
      </c>
      <c r="F1716" s="291">
        <v>51</v>
      </c>
      <c r="G1716" s="291">
        <v>1100</v>
      </c>
      <c r="H1716" s="287">
        <v>0.17406143344709901</v>
      </c>
      <c r="I1716" s="211">
        <v>0.31272727272727302</v>
      </c>
      <c r="J1716" s="211">
        <v>-0.64697608740343204</v>
      </c>
      <c r="K1716" s="288">
        <v>-189.56399360920599</v>
      </c>
    </row>
    <row r="1717" spans="2:11" x14ac:dyDescent="0.2">
      <c r="B1717">
        <v>22</v>
      </c>
      <c r="C1717">
        <v>5432</v>
      </c>
      <c r="D1717" s="308" t="s">
        <v>2289</v>
      </c>
      <c r="E1717" s="291">
        <v>515</v>
      </c>
      <c r="F1717" s="291">
        <v>128</v>
      </c>
      <c r="G1717" s="291">
        <v>494</v>
      </c>
      <c r="H1717" s="287">
        <v>0.24854368932038801</v>
      </c>
      <c r="I1717" s="211">
        <v>1.3016194331983799</v>
      </c>
      <c r="J1717" s="211">
        <v>-0.51011791131622297</v>
      </c>
      <c r="K1717" s="288">
        <v>-262.71072432785502</v>
      </c>
    </row>
    <row r="1718" spans="2:11" x14ac:dyDescent="0.2">
      <c r="B1718">
        <v>22</v>
      </c>
      <c r="C1718">
        <v>5434</v>
      </c>
      <c r="D1718" s="308" t="s">
        <v>2290</v>
      </c>
      <c r="E1718" s="291">
        <v>992</v>
      </c>
      <c r="F1718" s="291">
        <v>190</v>
      </c>
      <c r="G1718" s="291">
        <v>1230</v>
      </c>
      <c r="H1718" s="287">
        <v>0.19153225806451599</v>
      </c>
      <c r="I1718" s="211">
        <v>0.96097560975609797</v>
      </c>
      <c r="J1718" s="211">
        <v>-0.574966975598867</v>
      </c>
      <c r="K1718" s="288">
        <v>-570.367239794076</v>
      </c>
    </row>
    <row r="1719" spans="2:11" x14ac:dyDescent="0.2">
      <c r="B1719">
        <v>22</v>
      </c>
      <c r="C1719">
        <v>5435</v>
      </c>
      <c r="D1719" s="308" t="s">
        <v>2291</v>
      </c>
      <c r="E1719" s="291">
        <v>688</v>
      </c>
      <c r="F1719" s="291">
        <v>102</v>
      </c>
      <c r="G1719" s="291">
        <v>805</v>
      </c>
      <c r="H1719" s="287">
        <v>0.148255813953488</v>
      </c>
      <c r="I1719" s="211">
        <v>0.98136645962732905</v>
      </c>
      <c r="J1719" s="211">
        <v>-0.63946530803922497</v>
      </c>
      <c r="K1719" s="288">
        <v>-439.95213193098698</v>
      </c>
    </row>
    <row r="1720" spans="2:11" x14ac:dyDescent="0.2">
      <c r="B1720">
        <v>22</v>
      </c>
      <c r="C1720">
        <v>5436</v>
      </c>
      <c r="D1720" s="308" t="s">
        <v>2292</v>
      </c>
      <c r="E1720" s="291">
        <v>349</v>
      </c>
      <c r="F1720" s="291">
        <v>39</v>
      </c>
      <c r="G1720" s="291">
        <v>304</v>
      </c>
      <c r="H1720" s="287">
        <v>0.111747851002865</v>
      </c>
      <c r="I1720" s="211">
        <v>1.2763157894736801</v>
      </c>
      <c r="J1720" s="211">
        <v>-0.68689639044244999</v>
      </c>
      <c r="K1720" s="288">
        <v>-239.72684026441499</v>
      </c>
    </row>
    <row r="1721" spans="2:11" x14ac:dyDescent="0.2">
      <c r="B1721">
        <v>22</v>
      </c>
      <c r="C1721">
        <v>5437</v>
      </c>
      <c r="D1721" s="308" t="s">
        <v>2293</v>
      </c>
      <c r="E1721" s="291">
        <v>424</v>
      </c>
      <c r="F1721" s="291">
        <v>44</v>
      </c>
      <c r="G1721" s="291">
        <v>367</v>
      </c>
      <c r="H1721" s="287">
        <v>0.10377358490565999</v>
      </c>
      <c r="I1721" s="211">
        <v>1.27520435967302</v>
      </c>
      <c r="J1721" s="211">
        <v>-0.69395265563558195</v>
      </c>
      <c r="K1721" s="288">
        <v>-294.23592598948699</v>
      </c>
    </row>
    <row r="1722" spans="2:11" x14ac:dyDescent="0.2">
      <c r="B1722">
        <v>22</v>
      </c>
      <c r="C1722">
        <v>5451</v>
      </c>
      <c r="D1722" s="308" t="s">
        <v>2294</v>
      </c>
      <c r="E1722" s="291">
        <v>4166</v>
      </c>
      <c r="F1722" s="291">
        <v>2590</v>
      </c>
      <c r="G1722" s="291">
        <v>1924</v>
      </c>
      <c r="H1722" s="287">
        <v>0.62169947191550601</v>
      </c>
      <c r="I1722" s="211">
        <v>3.5114345114345098</v>
      </c>
      <c r="J1722" s="211">
        <v>0.17241168451663599</v>
      </c>
      <c r="K1722" s="288">
        <v>718.267077696304</v>
      </c>
    </row>
    <row r="1723" spans="2:11" x14ac:dyDescent="0.2">
      <c r="B1723">
        <v>22</v>
      </c>
      <c r="C1723">
        <v>5456</v>
      </c>
      <c r="D1723" s="308" t="s">
        <v>2295</v>
      </c>
      <c r="E1723" s="291">
        <v>1557</v>
      </c>
      <c r="F1723" s="291">
        <v>337</v>
      </c>
      <c r="G1723" s="291">
        <v>1449</v>
      </c>
      <c r="H1723" s="287">
        <v>0.21644187540141299</v>
      </c>
      <c r="I1723" s="211">
        <v>1.3071083505866099</v>
      </c>
      <c r="J1723" s="211">
        <v>-0.509882796749353</v>
      </c>
      <c r="K1723" s="288">
        <v>-793.88751453874295</v>
      </c>
    </row>
    <row r="1724" spans="2:11" x14ac:dyDescent="0.2">
      <c r="B1724">
        <v>22</v>
      </c>
      <c r="C1724">
        <v>5458</v>
      </c>
      <c r="D1724" s="308" t="s">
        <v>2296</v>
      </c>
      <c r="E1724" s="291">
        <v>879</v>
      </c>
      <c r="F1724" s="291">
        <v>144</v>
      </c>
      <c r="G1724" s="291">
        <v>346</v>
      </c>
      <c r="H1724" s="287">
        <v>0.16382252559727001</v>
      </c>
      <c r="I1724" s="211">
        <v>2.9566473988439301</v>
      </c>
      <c r="J1724" s="211">
        <v>-0.54080905948469205</v>
      </c>
      <c r="K1724" s="288">
        <v>-475.371163287044</v>
      </c>
    </row>
    <row r="1725" spans="2:11" x14ac:dyDescent="0.2">
      <c r="B1725">
        <v>22</v>
      </c>
      <c r="C1725">
        <v>5464</v>
      </c>
      <c r="D1725" s="308" t="s">
        <v>2297</v>
      </c>
      <c r="E1725" s="291">
        <v>2943</v>
      </c>
      <c r="F1725" s="291">
        <v>619</v>
      </c>
      <c r="G1725" s="291">
        <v>2029</v>
      </c>
      <c r="H1725" s="287">
        <v>0.210329595650697</v>
      </c>
      <c r="I1725" s="211">
        <v>1.7555446032528299</v>
      </c>
      <c r="J1725" s="211">
        <v>-0.44813730160017701</v>
      </c>
      <c r="K1725" s="288">
        <v>-1318.86807860932</v>
      </c>
    </row>
    <row r="1726" spans="2:11" x14ac:dyDescent="0.2">
      <c r="B1726">
        <v>22</v>
      </c>
      <c r="C1726">
        <v>5471</v>
      </c>
      <c r="D1726" s="308" t="s">
        <v>2298</v>
      </c>
      <c r="E1726" s="291">
        <v>583</v>
      </c>
      <c r="F1726" s="291">
        <v>96</v>
      </c>
      <c r="G1726" s="291">
        <v>374</v>
      </c>
      <c r="H1726" s="287">
        <v>0.16466552315608901</v>
      </c>
      <c r="I1726" s="211">
        <v>1.81550802139037</v>
      </c>
      <c r="J1726" s="211">
        <v>-0.59270915358495202</v>
      </c>
      <c r="K1726" s="288">
        <v>-345.54943654002699</v>
      </c>
    </row>
    <row r="1727" spans="2:11" x14ac:dyDescent="0.2">
      <c r="B1727">
        <v>22</v>
      </c>
      <c r="C1727">
        <v>5472</v>
      </c>
      <c r="D1727" s="308" t="s">
        <v>2299</v>
      </c>
      <c r="E1727" s="291">
        <v>372</v>
      </c>
      <c r="F1727" s="291">
        <v>58</v>
      </c>
      <c r="G1727" s="291">
        <v>382</v>
      </c>
      <c r="H1727" s="287">
        <v>0.15591397849462399</v>
      </c>
      <c r="I1727" s="211">
        <v>1.12565445026178</v>
      </c>
      <c r="J1727" s="211">
        <v>-0.63678540061852895</v>
      </c>
      <c r="K1727" s="288">
        <v>-236.88416903009301</v>
      </c>
    </row>
    <row r="1728" spans="2:11" x14ac:dyDescent="0.2">
      <c r="B1728">
        <v>22</v>
      </c>
      <c r="C1728">
        <v>5473</v>
      </c>
      <c r="D1728" s="308" t="s">
        <v>2300</v>
      </c>
      <c r="E1728" s="291">
        <v>980</v>
      </c>
      <c r="F1728" s="291">
        <v>147</v>
      </c>
      <c r="G1728" s="291">
        <v>317</v>
      </c>
      <c r="H1728" s="287">
        <v>0.15</v>
      </c>
      <c r="I1728" s="211">
        <v>3.5552050473186099</v>
      </c>
      <c r="J1728" s="211">
        <v>-0.53223978306025499</v>
      </c>
      <c r="K1728" s="288">
        <v>-521.59498739904996</v>
      </c>
    </row>
    <row r="1729" spans="2:11" x14ac:dyDescent="0.2">
      <c r="B1729">
        <v>22</v>
      </c>
      <c r="C1729">
        <v>5474</v>
      </c>
      <c r="D1729" s="308" t="s">
        <v>2301</v>
      </c>
      <c r="E1729" s="291">
        <v>422</v>
      </c>
      <c r="F1729" s="291">
        <v>68</v>
      </c>
      <c r="G1729" s="291">
        <v>673</v>
      </c>
      <c r="H1729" s="287">
        <v>0.161137440758294</v>
      </c>
      <c r="I1729" s="211">
        <v>0.72808320950965799</v>
      </c>
      <c r="J1729" s="211">
        <v>-0.64290766797090704</v>
      </c>
      <c r="K1729" s="288">
        <v>-271.30703588372302</v>
      </c>
    </row>
    <row r="1730" spans="2:11" x14ac:dyDescent="0.2">
      <c r="B1730">
        <v>22</v>
      </c>
      <c r="C1730">
        <v>5475</v>
      </c>
      <c r="D1730" s="308" t="s">
        <v>2302</v>
      </c>
      <c r="E1730" s="291">
        <v>143</v>
      </c>
      <c r="F1730" s="291">
        <v>39</v>
      </c>
      <c r="G1730" s="291">
        <v>264</v>
      </c>
      <c r="H1730" s="287">
        <v>0.27272727272727298</v>
      </c>
      <c r="I1730" s="211">
        <v>0.689393939393939</v>
      </c>
      <c r="J1730" s="211">
        <v>-0.51670157672316397</v>
      </c>
      <c r="K1730" s="288">
        <v>-73.8883254714125</v>
      </c>
    </row>
    <row r="1731" spans="2:11" x14ac:dyDescent="0.2">
      <c r="B1731">
        <v>22</v>
      </c>
      <c r="C1731">
        <v>5476</v>
      </c>
      <c r="D1731" s="308" t="s">
        <v>2303</v>
      </c>
      <c r="E1731" s="291">
        <v>296</v>
      </c>
      <c r="F1731" s="291">
        <v>286</v>
      </c>
      <c r="G1731" s="291">
        <v>381</v>
      </c>
      <c r="H1731" s="287">
        <v>0.96621621621621601</v>
      </c>
      <c r="I1731" s="211">
        <v>1.52755905511811</v>
      </c>
      <c r="J1731" s="211">
        <v>0.379071734207448</v>
      </c>
      <c r="K1731" s="288">
        <v>112.205233325405</v>
      </c>
    </row>
    <row r="1732" spans="2:11" x14ac:dyDescent="0.2">
      <c r="B1732">
        <v>22</v>
      </c>
      <c r="C1732">
        <v>5477</v>
      </c>
      <c r="D1732" s="308" t="s">
        <v>2304</v>
      </c>
      <c r="E1732" s="291">
        <v>3642</v>
      </c>
      <c r="F1732" s="291">
        <v>1321</v>
      </c>
      <c r="G1732" s="291">
        <v>821</v>
      </c>
      <c r="H1732" s="287">
        <v>0.36271279516749</v>
      </c>
      <c r="I1732" s="211">
        <v>6.04506699147381</v>
      </c>
      <c r="J1732" s="211">
        <v>-7.6096983385879405E-2</v>
      </c>
      <c r="K1732" s="288">
        <v>-277.145213491373</v>
      </c>
    </row>
    <row r="1733" spans="2:11" x14ac:dyDescent="0.2">
      <c r="B1733">
        <v>22</v>
      </c>
      <c r="C1733">
        <v>5478</v>
      </c>
      <c r="D1733" s="308" t="s">
        <v>2305</v>
      </c>
      <c r="E1733" s="291">
        <v>484</v>
      </c>
      <c r="F1733" s="291">
        <v>108</v>
      </c>
      <c r="G1733" s="291">
        <v>242</v>
      </c>
      <c r="H1733" s="287">
        <v>0.22314049586776899</v>
      </c>
      <c r="I1733" s="211">
        <v>2.4462809917355401</v>
      </c>
      <c r="J1733" s="211">
        <v>-0.50101792048971305</v>
      </c>
      <c r="K1733" s="288">
        <v>-242.49267351702099</v>
      </c>
    </row>
    <row r="1734" spans="2:11" x14ac:dyDescent="0.2">
      <c r="B1734">
        <v>22</v>
      </c>
      <c r="C1734">
        <v>5479</v>
      </c>
      <c r="D1734" s="308" t="s">
        <v>2306</v>
      </c>
      <c r="E1734" s="291">
        <v>481</v>
      </c>
      <c r="F1734" s="291">
        <v>115</v>
      </c>
      <c r="G1734" s="291">
        <v>704</v>
      </c>
      <c r="H1734" s="287">
        <v>0.23908523908523899</v>
      </c>
      <c r="I1734" s="211">
        <v>0.84659090909090895</v>
      </c>
      <c r="J1734" s="211">
        <v>-0.53973941444365303</v>
      </c>
      <c r="K1734" s="288">
        <v>-259.61465834739698</v>
      </c>
    </row>
    <row r="1735" spans="2:11" x14ac:dyDescent="0.2">
      <c r="B1735">
        <v>22</v>
      </c>
      <c r="C1735">
        <v>5480</v>
      </c>
      <c r="D1735" s="308" t="s">
        <v>2307</v>
      </c>
      <c r="E1735" s="291">
        <v>958</v>
      </c>
      <c r="F1735" s="291">
        <v>1155</v>
      </c>
      <c r="G1735" s="291">
        <v>548</v>
      </c>
      <c r="H1735" s="287">
        <v>1.2056367432150299</v>
      </c>
      <c r="I1735" s="211">
        <v>3.85583941605839</v>
      </c>
      <c r="J1735" s="211">
        <v>0.78599552156915897</v>
      </c>
      <c r="K1735" s="288">
        <v>752.98370966325399</v>
      </c>
    </row>
    <row r="1736" spans="2:11" x14ac:dyDescent="0.2">
      <c r="B1736">
        <v>22</v>
      </c>
      <c r="C1736">
        <v>5481</v>
      </c>
      <c r="D1736" s="308" t="s">
        <v>2308</v>
      </c>
      <c r="E1736" s="291">
        <v>222</v>
      </c>
      <c r="F1736" s="291">
        <v>63</v>
      </c>
      <c r="G1736" s="291">
        <v>306</v>
      </c>
      <c r="H1736" s="287">
        <v>0.28378378378378399</v>
      </c>
      <c r="I1736" s="211">
        <v>0.93137254901960798</v>
      </c>
      <c r="J1736" s="211">
        <v>-0.49115355747618</v>
      </c>
      <c r="K1736" s="288">
        <v>-109.036089759712</v>
      </c>
    </row>
    <row r="1737" spans="2:11" x14ac:dyDescent="0.2">
      <c r="B1737">
        <v>22</v>
      </c>
      <c r="C1737">
        <v>5482</v>
      </c>
      <c r="D1737" s="308" t="s">
        <v>2309</v>
      </c>
      <c r="E1737" s="291">
        <v>1036</v>
      </c>
      <c r="F1737" s="291">
        <v>1421</v>
      </c>
      <c r="G1737" s="291">
        <v>576</v>
      </c>
      <c r="H1737" s="287">
        <v>1.3716216216216199</v>
      </c>
      <c r="I1737" s="211">
        <v>4.265625</v>
      </c>
      <c r="J1737" s="211">
        <v>1.00960948159343</v>
      </c>
      <c r="K1737" s="288">
        <v>1045.9554229308001</v>
      </c>
    </row>
    <row r="1738" spans="2:11" x14ac:dyDescent="0.2">
      <c r="B1738">
        <v>22</v>
      </c>
      <c r="C1738">
        <v>5483</v>
      </c>
      <c r="D1738" s="308" t="s">
        <v>2310</v>
      </c>
      <c r="E1738" s="291">
        <v>316</v>
      </c>
      <c r="F1738" s="291">
        <v>49</v>
      </c>
      <c r="G1738" s="291">
        <v>315</v>
      </c>
      <c r="H1738" s="287">
        <v>0.15506329113924</v>
      </c>
      <c r="I1738" s="211">
        <v>1.1587301587301599</v>
      </c>
      <c r="J1738" s="211">
        <v>-0.63877249819791404</v>
      </c>
      <c r="K1738" s="288">
        <v>-201.85210943054099</v>
      </c>
    </row>
    <row r="1739" spans="2:11" x14ac:dyDescent="0.2">
      <c r="B1739">
        <v>22</v>
      </c>
      <c r="C1739">
        <v>5484</v>
      </c>
      <c r="D1739" s="308" t="s">
        <v>2311</v>
      </c>
      <c r="E1739" s="291">
        <v>901</v>
      </c>
      <c r="F1739" s="291">
        <v>245</v>
      </c>
      <c r="G1739" s="291">
        <v>544</v>
      </c>
      <c r="H1739" s="287">
        <v>0.27192008879023299</v>
      </c>
      <c r="I1739" s="211">
        <v>2.1066176470588198</v>
      </c>
      <c r="J1739" s="211">
        <v>-0.43703133552699502</v>
      </c>
      <c r="K1739" s="288">
        <v>-393.76523330982201</v>
      </c>
    </row>
    <row r="1740" spans="2:11" x14ac:dyDescent="0.2">
      <c r="B1740">
        <v>22</v>
      </c>
      <c r="C1740">
        <v>5485</v>
      </c>
      <c r="D1740" s="308" t="s">
        <v>2312</v>
      </c>
      <c r="E1740" s="291">
        <v>408</v>
      </c>
      <c r="F1740" s="291">
        <v>82</v>
      </c>
      <c r="G1740" s="291">
        <v>563</v>
      </c>
      <c r="H1740" s="287">
        <v>0.200980392156863</v>
      </c>
      <c r="I1740" s="211">
        <v>0.87033747779751303</v>
      </c>
      <c r="J1740" s="211">
        <v>-0.58888046751978096</v>
      </c>
      <c r="K1740" s="288">
        <v>-240.26323074807101</v>
      </c>
    </row>
    <row r="1741" spans="2:11" x14ac:dyDescent="0.2">
      <c r="B1741">
        <v>22</v>
      </c>
      <c r="C1741">
        <v>5486</v>
      </c>
      <c r="D1741" s="308" t="s">
        <v>2313</v>
      </c>
      <c r="E1741" s="291">
        <v>1031</v>
      </c>
      <c r="F1741" s="291">
        <v>323</v>
      </c>
      <c r="G1741" s="291">
        <v>1618</v>
      </c>
      <c r="H1741" s="287">
        <v>0.31328806983511198</v>
      </c>
      <c r="I1741" s="211">
        <v>0.83683559950556197</v>
      </c>
      <c r="J1741" s="211">
        <v>-0.42713064306362802</v>
      </c>
      <c r="K1741" s="288">
        <v>-440.37169299860102</v>
      </c>
    </row>
    <row r="1742" spans="2:11" x14ac:dyDescent="0.2">
      <c r="B1742">
        <v>22</v>
      </c>
      <c r="C1742">
        <v>5487</v>
      </c>
      <c r="D1742" s="308" t="s">
        <v>2314</v>
      </c>
      <c r="E1742" s="291">
        <v>460</v>
      </c>
      <c r="F1742" s="291">
        <v>54</v>
      </c>
      <c r="G1742" s="291">
        <v>368</v>
      </c>
      <c r="H1742" s="287">
        <v>0.11739130434782601</v>
      </c>
      <c r="I1742" s="211">
        <v>1.39673913043478</v>
      </c>
      <c r="J1742" s="211">
        <v>-0.67126830405197901</v>
      </c>
      <c r="K1742" s="288">
        <v>-308.78341986391098</v>
      </c>
    </row>
    <row r="1743" spans="2:11" x14ac:dyDescent="0.2">
      <c r="B1743">
        <v>22</v>
      </c>
      <c r="C1743">
        <v>5488</v>
      </c>
      <c r="D1743" s="308" t="s">
        <v>2315</v>
      </c>
      <c r="E1743" s="291">
        <v>53</v>
      </c>
      <c r="F1743" s="291">
        <v>21</v>
      </c>
      <c r="G1743" s="291">
        <v>47</v>
      </c>
      <c r="H1743" s="287">
        <v>0.39622641509433998</v>
      </c>
      <c r="I1743" s="211">
        <v>1.5744680851063799</v>
      </c>
      <c r="J1743" s="211">
        <v>-0.33481260817479502</v>
      </c>
      <c r="K1743" s="288">
        <v>-17.745068233264099</v>
      </c>
    </row>
    <row r="1744" spans="2:11" x14ac:dyDescent="0.2">
      <c r="B1744">
        <v>22</v>
      </c>
      <c r="C1744">
        <v>5489</v>
      </c>
      <c r="D1744" s="308" t="s">
        <v>2316</v>
      </c>
      <c r="E1744" s="291">
        <v>709</v>
      </c>
      <c r="F1744" s="291">
        <v>1704</v>
      </c>
      <c r="G1744" s="291">
        <v>290</v>
      </c>
      <c r="H1744" s="287">
        <v>2.4033850493653</v>
      </c>
      <c r="I1744" s="211">
        <v>8.3206896551724103</v>
      </c>
      <c r="J1744" s="211">
        <v>2.4235890979304502</v>
      </c>
      <c r="K1744" s="288">
        <v>1718.32467043269</v>
      </c>
    </row>
    <row r="1745" spans="2:11" x14ac:dyDescent="0.2">
      <c r="B1745">
        <v>22</v>
      </c>
      <c r="C1745">
        <v>5490</v>
      </c>
      <c r="D1745" s="308" t="s">
        <v>2317</v>
      </c>
      <c r="E1745" s="291">
        <v>304</v>
      </c>
      <c r="F1745" s="291">
        <v>55</v>
      </c>
      <c r="G1745" s="291">
        <v>668</v>
      </c>
      <c r="H1745" s="287">
        <v>0.18092105263157901</v>
      </c>
      <c r="I1745" s="211">
        <v>0.53742514970059896</v>
      </c>
      <c r="J1745" s="211">
        <v>-0.62985744109122199</v>
      </c>
      <c r="K1745" s="288">
        <v>-191.47666209173201</v>
      </c>
    </row>
    <row r="1746" spans="2:11" x14ac:dyDescent="0.2">
      <c r="B1746">
        <v>22</v>
      </c>
      <c r="C1746">
        <v>5491</v>
      </c>
      <c r="D1746" s="308" t="s">
        <v>2318</v>
      </c>
      <c r="E1746" s="291">
        <v>400</v>
      </c>
      <c r="F1746" s="291">
        <v>64</v>
      </c>
      <c r="G1746" s="291">
        <v>1975</v>
      </c>
      <c r="H1746" s="287">
        <v>0.16</v>
      </c>
      <c r="I1746" s="211">
        <v>0.23493670886075901</v>
      </c>
      <c r="J1746" s="211">
        <v>-0.66315030300410704</v>
      </c>
      <c r="K1746" s="288">
        <v>-265.26012120164302</v>
      </c>
    </row>
    <row r="1747" spans="2:11" x14ac:dyDescent="0.2">
      <c r="B1747">
        <v>22</v>
      </c>
      <c r="C1747">
        <v>5492</v>
      </c>
      <c r="D1747" s="308" t="s">
        <v>2319</v>
      </c>
      <c r="E1747" s="291">
        <v>964</v>
      </c>
      <c r="F1747" s="291">
        <v>266</v>
      </c>
      <c r="G1747" s="291">
        <v>2575</v>
      </c>
      <c r="H1747" s="287">
        <v>0.27593360995850602</v>
      </c>
      <c r="I1747" s="211">
        <v>0.47766990291262101</v>
      </c>
      <c r="J1747" s="211">
        <v>-0.48908321887224898</v>
      </c>
      <c r="K1747" s="288">
        <v>-471.47622299284802</v>
      </c>
    </row>
    <row r="1748" spans="2:11" x14ac:dyDescent="0.2">
      <c r="B1748">
        <v>22</v>
      </c>
      <c r="C1748">
        <v>5493</v>
      </c>
      <c r="D1748" s="308" t="s">
        <v>2320</v>
      </c>
      <c r="E1748" s="291">
        <v>370</v>
      </c>
      <c r="F1748" s="291">
        <v>100</v>
      </c>
      <c r="G1748" s="291">
        <v>546</v>
      </c>
      <c r="H1748" s="287">
        <v>0.27027027027027001</v>
      </c>
      <c r="I1748" s="211">
        <v>0.86080586080586097</v>
      </c>
      <c r="J1748" s="211">
        <v>-0.50481865750906296</v>
      </c>
      <c r="K1748" s="288">
        <v>-186.78290327835299</v>
      </c>
    </row>
    <row r="1749" spans="2:11" x14ac:dyDescent="0.2">
      <c r="B1749">
        <v>22</v>
      </c>
      <c r="C1749">
        <v>5494</v>
      </c>
      <c r="D1749" s="308" t="s">
        <v>2321</v>
      </c>
      <c r="E1749" s="291">
        <v>1118</v>
      </c>
      <c r="F1749" s="291">
        <v>301</v>
      </c>
      <c r="G1749" s="291">
        <v>1104</v>
      </c>
      <c r="H1749" s="287">
        <v>0.269230769230769</v>
      </c>
      <c r="I1749" s="211">
        <v>1.28532608695652</v>
      </c>
      <c r="J1749" s="211">
        <v>-0.46203737950351897</v>
      </c>
      <c r="K1749" s="288">
        <v>-516.55779028493396</v>
      </c>
    </row>
    <row r="1750" spans="2:11" x14ac:dyDescent="0.2">
      <c r="B1750">
        <v>22</v>
      </c>
      <c r="C1750">
        <v>5495</v>
      </c>
      <c r="D1750" s="308" t="s">
        <v>2322</v>
      </c>
      <c r="E1750" s="291">
        <v>3247</v>
      </c>
      <c r="F1750" s="291">
        <v>1183</v>
      </c>
      <c r="G1750" s="291">
        <v>376</v>
      </c>
      <c r="H1750" s="287">
        <v>0.36433631044040699</v>
      </c>
      <c r="I1750" s="211">
        <v>11.781914893617</v>
      </c>
      <c r="J1750" s="211">
        <v>0.120132146631986</v>
      </c>
      <c r="K1750" s="288">
        <v>390.06908011405801</v>
      </c>
    </row>
    <row r="1751" spans="2:11" x14ac:dyDescent="0.2">
      <c r="B1751">
        <v>22</v>
      </c>
      <c r="C1751">
        <v>5496</v>
      </c>
      <c r="D1751" s="308" t="s">
        <v>2323</v>
      </c>
      <c r="E1751" s="291">
        <v>1698</v>
      </c>
      <c r="F1751" s="291">
        <v>654</v>
      </c>
      <c r="G1751" s="291">
        <v>381</v>
      </c>
      <c r="H1751" s="287">
        <v>0.38515901060070701</v>
      </c>
      <c r="I1751" s="211">
        <v>6.1732283464566899</v>
      </c>
      <c r="J1751" s="211">
        <v>-0.117885653412279</v>
      </c>
      <c r="K1751" s="288">
        <v>-200.169839494049</v>
      </c>
    </row>
    <row r="1752" spans="2:11" x14ac:dyDescent="0.2">
      <c r="B1752">
        <v>22</v>
      </c>
      <c r="C1752">
        <v>5497</v>
      </c>
      <c r="D1752" s="308" t="s">
        <v>2324</v>
      </c>
      <c r="E1752" s="291">
        <v>860</v>
      </c>
      <c r="F1752" s="291">
        <v>576</v>
      </c>
      <c r="G1752" s="291">
        <v>440</v>
      </c>
      <c r="H1752" s="287">
        <v>0.669767441860465</v>
      </c>
      <c r="I1752" s="211">
        <v>3.2636363636363601</v>
      </c>
      <c r="J1752" s="211">
        <v>9.6614317335343397E-2</v>
      </c>
      <c r="K1752" s="288">
        <v>83.088312908395295</v>
      </c>
    </row>
    <row r="1753" spans="2:11" x14ac:dyDescent="0.2">
      <c r="B1753">
        <v>22</v>
      </c>
      <c r="C1753">
        <v>5498</v>
      </c>
      <c r="D1753" s="308" t="s">
        <v>2325</v>
      </c>
      <c r="E1753" s="291">
        <v>2586</v>
      </c>
      <c r="F1753" s="291">
        <v>528</v>
      </c>
      <c r="G1753" s="291">
        <v>771</v>
      </c>
      <c r="H1753" s="287">
        <v>0.204176334106729</v>
      </c>
      <c r="I1753" s="211">
        <v>4.0389105058365802</v>
      </c>
      <c r="J1753" s="211">
        <v>-0.38609391155024603</v>
      </c>
      <c r="K1753" s="288">
        <v>-998.438855268937</v>
      </c>
    </row>
    <row r="1754" spans="2:11" x14ac:dyDescent="0.2">
      <c r="B1754">
        <v>22</v>
      </c>
      <c r="C1754">
        <v>5499</v>
      </c>
      <c r="D1754" s="308" t="s">
        <v>2326</v>
      </c>
      <c r="E1754" s="291">
        <v>459</v>
      </c>
      <c r="F1754" s="291">
        <v>118</v>
      </c>
      <c r="G1754" s="291">
        <v>395</v>
      </c>
      <c r="H1754" s="287">
        <v>0.257080610021787</v>
      </c>
      <c r="I1754" s="211">
        <v>1.4607594936708901</v>
      </c>
      <c r="J1754" s="211">
        <v>-0.49587273789140401</v>
      </c>
      <c r="K1754" s="288">
        <v>-227.60558669215399</v>
      </c>
    </row>
    <row r="1755" spans="2:11" x14ac:dyDescent="0.2">
      <c r="B1755">
        <v>22</v>
      </c>
      <c r="C1755">
        <v>5500</v>
      </c>
      <c r="D1755" s="308" t="s">
        <v>2327</v>
      </c>
      <c r="E1755" s="291">
        <v>242</v>
      </c>
      <c r="F1755" s="291">
        <v>75</v>
      </c>
      <c r="G1755" s="291">
        <v>240</v>
      </c>
      <c r="H1755" s="287">
        <v>0.30991735537190102</v>
      </c>
      <c r="I1755" s="211">
        <v>1.32083333333333</v>
      </c>
      <c r="J1755" s="211">
        <v>-0.44379602675205498</v>
      </c>
      <c r="K1755" s="288">
        <v>-107.398638473997</v>
      </c>
    </row>
    <row r="1756" spans="2:11" x14ac:dyDescent="0.2">
      <c r="B1756">
        <v>22</v>
      </c>
      <c r="C1756">
        <v>5501</v>
      </c>
      <c r="D1756" s="308" t="s">
        <v>2328</v>
      </c>
      <c r="E1756" s="291">
        <v>976</v>
      </c>
      <c r="F1756" s="291">
        <v>99</v>
      </c>
      <c r="G1756" s="291">
        <v>390</v>
      </c>
      <c r="H1756" s="287">
        <v>0.101434426229508</v>
      </c>
      <c r="I1756" s="211">
        <v>2.7564102564102599</v>
      </c>
      <c r="J1756" s="211">
        <v>-0.62171753008165798</v>
      </c>
      <c r="K1756" s="288">
        <v>-606.79630935969794</v>
      </c>
    </row>
    <row r="1757" spans="2:11" x14ac:dyDescent="0.2">
      <c r="B1757">
        <v>22</v>
      </c>
      <c r="C1757">
        <v>5503</v>
      </c>
      <c r="D1757" s="308" t="s">
        <v>2329</v>
      </c>
      <c r="E1757" s="291">
        <v>1252</v>
      </c>
      <c r="F1757" s="291">
        <v>393</v>
      </c>
      <c r="G1757" s="291">
        <v>535</v>
      </c>
      <c r="H1757" s="287">
        <v>0.31389776357827498</v>
      </c>
      <c r="I1757" s="211">
        <v>3.07476635514019</v>
      </c>
      <c r="J1757" s="211">
        <v>-0.336279478534322</v>
      </c>
      <c r="K1757" s="288">
        <v>-421.02190712497202</v>
      </c>
    </row>
    <row r="1758" spans="2:11" x14ac:dyDescent="0.2">
      <c r="B1758">
        <v>22</v>
      </c>
      <c r="C1758">
        <v>5511</v>
      </c>
      <c r="D1758" s="308" t="s">
        <v>2330</v>
      </c>
      <c r="E1758" s="291">
        <v>1058</v>
      </c>
      <c r="F1758" s="291">
        <v>321</v>
      </c>
      <c r="G1758" s="291">
        <v>530</v>
      </c>
      <c r="H1758" s="287">
        <v>0.30340264650283599</v>
      </c>
      <c r="I1758" s="211">
        <v>2.6018867924528299</v>
      </c>
      <c r="J1758" s="211">
        <v>-0.37395039595687701</v>
      </c>
      <c r="K1758" s="288">
        <v>-395.639518922376</v>
      </c>
    </row>
    <row r="1759" spans="2:11" x14ac:dyDescent="0.2">
      <c r="B1759">
        <v>22</v>
      </c>
      <c r="C1759">
        <v>5512</v>
      </c>
      <c r="D1759" s="308" t="s">
        <v>2331</v>
      </c>
      <c r="E1759" s="291">
        <v>1157</v>
      </c>
      <c r="F1759" s="291">
        <v>420</v>
      </c>
      <c r="G1759" s="291">
        <v>422</v>
      </c>
      <c r="H1759" s="287">
        <v>0.36300777873811602</v>
      </c>
      <c r="I1759" s="211">
        <v>3.7369668246445502</v>
      </c>
      <c r="J1759" s="211">
        <v>-0.25489348848432097</v>
      </c>
      <c r="K1759" s="288">
        <v>-294.91176617635898</v>
      </c>
    </row>
    <row r="1760" spans="2:11" x14ac:dyDescent="0.2">
      <c r="B1760">
        <v>22</v>
      </c>
      <c r="C1760">
        <v>5513</v>
      </c>
      <c r="D1760" s="308" t="s">
        <v>2332</v>
      </c>
      <c r="E1760" s="291">
        <v>477</v>
      </c>
      <c r="F1760" s="291">
        <v>570</v>
      </c>
      <c r="G1760" s="291">
        <v>307</v>
      </c>
      <c r="H1760" s="287">
        <v>1.1949685534591199</v>
      </c>
      <c r="I1760" s="211">
        <v>3.4104234527687298</v>
      </c>
      <c r="J1760" s="211">
        <v>0.73814603597772099</v>
      </c>
      <c r="K1760" s="288">
        <v>352.09565916137302</v>
      </c>
    </row>
    <row r="1761" spans="2:11" x14ac:dyDescent="0.2">
      <c r="B1761">
        <v>22</v>
      </c>
      <c r="C1761">
        <v>5514</v>
      </c>
      <c r="D1761" s="308" t="s">
        <v>2333</v>
      </c>
      <c r="E1761" s="291">
        <v>1245</v>
      </c>
      <c r="F1761" s="291">
        <v>242</v>
      </c>
      <c r="G1761" s="291">
        <v>693</v>
      </c>
      <c r="H1761" s="287">
        <v>0.19437751004016099</v>
      </c>
      <c r="I1761" s="211">
        <v>2.1457431457431499</v>
      </c>
      <c r="J1761" s="211">
        <v>-0.518547759808068</v>
      </c>
      <c r="K1761" s="288">
        <v>-645.59196096104495</v>
      </c>
    </row>
    <row r="1762" spans="2:11" x14ac:dyDescent="0.2">
      <c r="B1762">
        <v>22</v>
      </c>
      <c r="C1762">
        <v>5515</v>
      </c>
      <c r="D1762" s="308" t="s">
        <v>2334</v>
      </c>
      <c r="E1762" s="291">
        <v>818</v>
      </c>
      <c r="F1762" s="291">
        <v>133</v>
      </c>
      <c r="G1762" s="291">
        <v>283</v>
      </c>
      <c r="H1762" s="287">
        <v>0.16259168704156499</v>
      </c>
      <c r="I1762" s="211">
        <v>3.3604240282685498</v>
      </c>
      <c r="J1762" s="211">
        <v>-0.52993317526314299</v>
      </c>
      <c r="K1762" s="288">
        <v>-433.48533736525098</v>
      </c>
    </row>
    <row r="1763" spans="2:11" x14ac:dyDescent="0.2">
      <c r="B1763">
        <v>22</v>
      </c>
      <c r="C1763">
        <v>5516</v>
      </c>
      <c r="D1763" s="308" t="s">
        <v>2335</v>
      </c>
      <c r="E1763" s="291">
        <v>2730</v>
      </c>
      <c r="F1763" s="291">
        <v>982</v>
      </c>
      <c r="G1763" s="291">
        <v>289</v>
      </c>
      <c r="H1763" s="287">
        <v>0.35970695970695998</v>
      </c>
      <c r="I1763" s="211">
        <v>12.8442906574394</v>
      </c>
      <c r="J1763" s="211">
        <v>0.133402322372878</v>
      </c>
      <c r="K1763" s="288">
        <v>364.18834007795698</v>
      </c>
    </row>
    <row r="1764" spans="2:11" x14ac:dyDescent="0.2">
      <c r="B1764">
        <v>22</v>
      </c>
      <c r="C1764">
        <v>5518</v>
      </c>
      <c r="D1764" s="308" t="s">
        <v>2336</v>
      </c>
      <c r="E1764" s="291">
        <v>5687</v>
      </c>
      <c r="F1764" s="291">
        <v>2481</v>
      </c>
      <c r="G1764" s="291">
        <v>662</v>
      </c>
      <c r="H1764" s="287">
        <v>0.43625813258308399</v>
      </c>
      <c r="I1764" s="211">
        <v>12.338368580060401</v>
      </c>
      <c r="J1764" s="211">
        <v>0.32278852225475402</v>
      </c>
      <c r="K1764" s="288">
        <v>1835.6983260627901</v>
      </c>
    </row>
    <row r="1765" spans="2:11" x14ac:dyDescent="0.2">
      <c r="B1765">
        <v>22</v>
      </c>
      <c r="C1765">
        <v>5520</v>
      </c>
      <c r="D1765" s="308" t="s">
        <v>2337</v>
      </c>
      <c r="E1765" s="291">
        <v>944</v>
      </c>
      <c r="F1765" s="291">
        <v>190</v>
      </c>
      <c r="G1765" s="291">
        <v>974</v>
      </c>
      <c r="H1765" s="287">
        <v>0.20127118644067801</v>
      </c>
      <c r="I1765" s="211">
        <v>1.1642710472279301</v>
      </c>
      <c r="J1765" s="211">
        <v>-0.557315623643725</v>
      </c>
      <c r="K1765" s="288">
        <v>-526.10594871967703</v>
      </c>
    </row>
    <row r="1766" spans="2:11" x14ac:dyDescent="0.2">
      <c r="B1766">
        <v>22</v>
      </c>
      <c r="C1766">
        <v>5521</v>
      </c>
      <c r="D1766" s="308" t="s">
        <v>2338</v>
      </c>
      <c r="E1766" s="291">
        <v>1120</v>
      </c>
      <c r="F1766" s="291">
        <v>526</v>
      </c>
      <c r="G1766" s="291">
        <v>374</v>
      </c>
      <c r="H1766" s="287">
        <v>0.46964285714285697</v>
      </c>
      <c r="I1766" s="211">
        <v>4.4010695187165796</v>
      </c>
      <c r="J1766" s="211">
        <v>-9.99389501093077E-2</v>
      </c>
      <c r="K1766" s="288">
        <v>-111.93162412242501</v>
      </c>
    </row>
    <row r="1767" spans="2:11" x14ac:dyDescent="0.2">
      <c r="B1767">
        <v>22</v>
      </c>
      <c r="C1767">
        <v>5522</v>
      </c>
      <c r="D1767" s="308" t="s">
        <v>2339</v>
      </c>
      <c r="E1767" s="291">
        <v>697</v>
      </c>
      <c r="F1767" s="291">
        <v>166</v>
      </c>
      <c r="G1767" s="291">
        <v>741</v>
      </c>
      <c r="H1767" s="287">
        <v>0.23816355810616899</v>
      </c>
      <c r="I1767" s="211">
        <v>1.1646423751686901</v>
      </c>
      <c r="J1767" s="211">
        <v>-0.52102411029534701</v>
      </c>
      <c r="K1767" s="288">
        <v>-363.15380487585702</v>
      </c>
    </row>
    <row r="1768" spans="2:11" x14ac:dyDescent="0.2">
      <c r="B1768">
        <v>22</v>
      </c>
      <c r="C1768">
        <v>5523</v>
      </c>
      <c r="D1768" s="308" t="s">
        <v>2340</v>
      </c>
      <c r="E1768" s="291">
        <v>2462</v>
      </c>
      <c r="F1768" s="291">
        <v>254</v>
      </c>
      <c r="G1768" s="291">
        <v>700</v>
      </c>
      <c r="H1768" s="287">
        <v>0.103168155970755</v>
      </c>
      <c r="I1768" s="211">
        <v>3.88</v>
      </c>
      <c r="J1768" s="211">
        <v>-0.52179548116276198</v>
      </c>
      <c r="K1768" s="288">
        <v>-1284.6604746227199</v>
      </c>
    </row>
    <row r="1769" spans="2:11" x14ac:dyDescent="0.2">
      <c r="B1769">
        <v>22</v>
      </c>
      <c r="C1769">
        <v>5527</v>
      </c>
      <c r="D1769" s="308" t="s">
        <v>2341</v>
      </c>
      <c r="E1769" s="291">
        <v>1075</v>
      </c>
      <c r="F1769" s="291">
        <v>134</v>
      </c>
      <c r="G1769" s="291">
        <v>371</v>
      </c>
      <c r="H1769" s="287">
        <v>0.124651162790698</v>
      </c>
      <c r="I1769" s="211">
        <v>3.2587601078167099</v>
      </c>
      <c r="J1769" s="211">
        <v>-0.57083710796898002</v>
      </c>
      <c r="K1769" s="288">
        <v>-613.64989106665405</v>
      </c>
    </row>
    <row r="1770" spans="2:11" x14ac:dyDescent="0.2">
      <c r="B1770">
        <v>22</v>
      </c>
      <c r="C1770">
        <v>5529</v>
      </c>
      <c r="D1770" s="308" t="s">
        <v>2342</v>
      </c>
      <c r="E1770" s="291">
        <v>562</v>
      </c>
      <c r="F1770" s="291">
        <v>157</v>
      </c>
      <c r="G1770" s="291">
        <v>587</v>
      </c>
      <c r="H1770" s="287">
        <v>0.27935943060498197</v>
      </c>
      <c r="I1770" s="211">
        <v>1.2248722316865399</v>
      </c>
      <c r="J1770" s="211">
        <v>-0.47293644176245903</v>
      </c>
      <c r="K1770" s="288">
        <v>-265.79028027050202</v>
      </c>
    </row>
    <row r="1771" spans="2:11" x14ac:dyDescent="0.2">
      <c r="B1771">
        <v>22</v>
      </c>
      <c r="C1771">
        <v>5530</v>
      </c>
      <c r="D1771" s="308" t="s">
        <v>2343</v>
      </c>
      <c r="E1771" s="291">
        <v>534</v>
      </c>
      <c r="F1771" s="291">
        <v>100</v>
      </c>
      <c r="G1771" s="291">
        <v>574</v>
      </c>
      <c r="H1771" s="287">
        <v>0.18726591760299599</v>
      </c>
      <c r="I1771" s="211">
        <v>1.10452961672474</v>
      </c>
      <c r="J1771" s="211">
        <v>-0.59251601148519095</v>
      </c>
      <c r="K1771" s="288">
        <v>-316.40355013309198</v>
      </c>
    </row>
    <row r="1772" spans="2:11" x14ac:dyDescent="0.2">
      <c r="B1772">
        <v>22</v>
      </c>
      <c r="C1772">
        <v>5531</v>
      </c>
      <c r="D1772" s="308" t="s">
        <v>2344</v>
      </c>
      <c r="E1772" s="291">
        <v>412</v>
      </c>
      <c r="F1772" s="291">
        <v>99</v>
      </c>
      <c r="G1772" s="291">
        <v>570</v>
      </c>
      <c r="H1772" s="287">
        <v>0.240291262135922</v>
      </c>
      <c r="I1772" s="211">
        <v>0.89649122807017501</v>
      </c>
      <c r="J1772" s="211">
        <v>-0.53906078397238</v>
      </c>
      <c r="K1772" s="288">
        <v>-222.09304299662099</v>
      </c>
    </row>
    <row r="1773" spans="2:11" x14ac:dyDescent="0.2">
      <c r="B1773">
        <v>22</v>
      </c>
      <c r="C1773">
        <v>5533</v>
      </c>
      <c r="D1773" s="308" t="s">
        <v>2345</v>
      </c>
      <c r="E1773" s="291">
        <v>844</v>
      </c>
      <c r="F1773" s="291">
        <v>228</v>
      </c>
      <c r="G1773" s="291">
        <v>497</v>
      </c>
      <c r="H1773" s="287">
        <v>0.27014218009478702</v>
      </c>
      <c r="I1773" s="211">
        <v>2.1569416498993998</v>
      </c>
      <c r="J1773" s="211">
        <v>-0.43957631447226397</v>
      </c>
      <c r="K1773" s="288">
        <v>-371.002409414591</v>
      </c>
    </row>
    <row r="1774" spans="2:11" x14ac:dyDescent="0.2">
      <c r="B1774">
        <v>22</v>
      </c>
      <c r="C1774">
        <v>5534</v>
      </c>
      <c r="D1774" s="308" t="s">
        <v>2346</v>
      </c>
      <c r="E1774" s="291">
        <v>270</v>
      </c>
      <c r="F1774" s="291">
        <v>86</v>
      </c>
      <c r="G1774" s="291">
        <v>199</v>
      </c>
      <c r="H1774" s="287">
        <v>0.31851851851851898</v>
      </c>
      <c r="I1774" s="211">
        <v>1.78894472361809</v>
      </c>
      <c r="J1774" s="211">
        <v>-0.41498876881999802</v>
      </c>
      <c r="K1774" s="288">
        <v>-112.046967581399</v>
      </c>
    </row>
    <row r="1775" spans="2:11" x14ac:dyDescent="0.2">
      <c r="B1775">
        <v>22</v>
      </c>
      <c r="C1775">
        <v>5535</v>
      </c>
      <c r="D1775" s="308" t="s">
        <v>2347</v>
      </c>
      <c r="E1775" s="291">
        <v>778</v>
      </c>
      <c r="F1775" s="291">
        <v>345</v>
      </c>
      <c r="G1775" s="291">
        <v>413</v>
      </c>
      <c r="H1775" s="287">
        <v>0.44344473007712099</v>
      </c>
      <c r="I1775" s="211">
        <v>2.7191283292978201</v>
      </c>
      <c r="J1775" s="211">
        <v>-0.20683633666076001</v>
      </c>
      <c r="K1775" s="288">
        <v>-160.91866992207099</v>
      </c>
    </row>
    <row r="1776" spans="2:11" x14ac:dyDescent="0.2">
      <c r="B1776">
        <v>22</v>
      </c>
      <c r="C1776">
        <v>5537</v>
      </c>
      <c r="D1776" s="308" t="s">
        <v>2348</v>
      </c>
      <c r="E1776" s="291">
        <v>1066</v>
      </c>
      <c r="F1776" s="291">
        <v>148</v>
      </c>
      <c r="G1776" s="291">
        <v>714</v>
      </c>
      <c r="H1776" s="287">
        <v>0.138836772983114</v>
      </c>
      <c r="I1776" s="211">
        <v>1.7002801120448201</v>
      </c>
      <c r="J1776" s="211">
        <v>-0.61046415487335504</v>
      </c>
      <c r="K1776" s="288">
        <v>-650.75478909499702</v>
      </c>
    </row>
    <row r="1777" spans="2:11" x14ac:dyDescent="0.2">
      <c r="B1777">
        <v>22</v>
      </c>
      <c r="C1777">
        <v>5539</v>
      </c>
      <c r="D1777" s="308" t="s">
        <v>2349</v>
      </c>
      <c r="E1777" s="291">
        <v>988</v>
      </c>
      <c r="F1777" s="291">
        <v>163</v>
      </c>
      <c r="G1777" s="291">
        <v>895</v>
      </c>
      <c r="H1777" s="287">
        <v>0.16497975708502</v>
      </c>
      <c r="I1777" s="211">
        <v>1.2860335195530701</v>
      </c>
      <c r="J1777" s="211">
        <v>-0.59616291646311803</v>
      </c>
      <c r="K1777" s="288">
        <v>-589.00896146556101</v>
      </c>
    </row>
    <row r="1778" spans="2:11" x14ac:dyDescent="0.2">
      <c r="B1778">
        <v>22</v>
      </c>
      <c r="C1778">
        <v>5540</v>
      </c>
      <c r="D1778" s="308" t="s">
        <v>2350</v>
      </c>
      <c r="E1778" s="291">
        <v>1694</v>
      </c>
      <c r="F1778" s="291">
        <v>255</v>
      </c>
      <c r="G1778" s="291">
        <v>1184</v>
      </c>
      <c r="H1778" s="287">
        <v>0.15053128689492301</v>
      </c>
      <c r="I1778" s="211">
        <v>1.64611486486486</v>
      </c>
      <c r="J1778" s="211">
        <v>-0.57395341576427406</v>
      </c>
      <c r="K1778" s="288">
        <v>-972.27708630467896</v>
      </c>
    </row>
    <row r="1779" spans="2:11" x14ac:dyDescent="0.2">
      <c r="B1779">
        <v>22</v>
      </c>
      <c r="C1779">
        <v>5541</v>
      </c>
      <c r="D1779" s="308" t="s">
        <v>2351</v>
      </c>
      <c r="E1779" s="291">
        <v>1050</v>
      </c>
      <c r="F1779" s="291">
        <v>279</v>
      </c>
      <c r="G1779" s="291">
        <v>1063</v>
      </c>
      <c r="H1779" s="287">
        <v>0.26571428571428601</v>
      </c>
      <c r="I1779" s="211">
        <v>1.25023518344309</v>
      </c>
      <c r="J1779" s="211">
        <v>-0.47027342252239501</v>
      </c>
      <c r="K1779" s="288">
        <v>-493.78709364851397</v>
      </c>
    </row>
    <row r="1780" spans="2:11" x14ac:dyDescent="0.2">
      <c r="B1780">
        <v>22</v>
      </c>
      <c r="C1780">
        <v>5551</v>
      </c>
      <c r="D1780" s="308" t="s">
        <v>2352</v>
      </c>
      <c r="E1780" s="291">
        <v>493</v>
      </c>
      <c r="F1780" s="291">
        <v>130</v>
      </c>
      <c r="G1780" s="291">
        <v>742</v>
      </c>
      <c r="H1780" s="287">
        <v>0.26369168356998002</v>
      </c>
      <c r="I1780" s="211">
        <v>0.839622641509434</v>
      </c>
      <c r="J1780" s="211">
        <v>-0.50904371563723005</v>
      </c>
      <c r="K1780" s="288">
        <v>-250.95855180915399</v>
      </c>
    </row>
    <row r="1781" spans="2:11" x14ac:dyDescent="0.2">
      <c r="B1781">
        <v>22</v>
      </c>
      <c r="C1781">
        <v>5552</v>
      </c>
      <c r="D1781" s="308" t="s">
        <v>2353</v>
      </c>
      <c r="E1781" s="291">
        <v>629</v>
      </c>
      <c r="F1781" s="291">
        <v>193</v>
      </c>
      <c r="G1781" s="291">
        <v>1678</v>
      </c>
      <c r="H1781" s="287">
        <v>0.30683624801271903</v>
      </c>
      <c r="I1781" s="211">
        <v>0.48986889153754498</v>
      </c>
      <c r="J1781" s="211">
        <v>-0.46314486737496602</v>
      </c>
      <c r="K1781" s="288">
        <v>-291.31812157885298</v>
      </c>
    </row>
    <row r="1782" spans="2:11" x14ac:dyDescent="0.2">
      <c r="B1782">
        <v>22</v>
      </c>
      <c r="C1782">
        <v>5553</v>
      </c>
      <c r="D1782" s="308" t="s">
        <v>2354</v>
      </c>
      <c r="E1782" s="291">
        <v>1028</v>
      </c>
      <c r="F1782" s="291">
        <v>420</v>
      </c>
      <c r="G1782" s="291">
        <v>386</v>
      </c>
      <c r="H1782" s="287">
        <v>0.40856031128404702</v>
      </c>
      <c r="I1782" s="211">
        <v>3.7512953367875599</v>
      </c>
      <c r="J1782" s="211">
        <v>-0.202852666128255</v>
      </c>
      <c r="K1782" s="288">
        <v>-208.53254077984599</v>
      </c>
    </row>
    <row r="1783" spans="2:11" x14ac:dyDescent="0.2">
      <c r="B1783">
        <v>22</v>
      </c>
      <c r="C1783">
        <v>5554</v>
      </c>
      <c r="D1783" s="308" t="s">
        <v>2355</v>
      </c>
      <c r="E1783" s="291">
        <v>961</v>
      </c>
      <c r="F1783" s="291">
        <v>180</v>
      </c>
      <c r="G1783" s="291">
        <v>1136</v>
      </c>
      <c r="H1783" s="287">
        <v>0.18730489073881401</v>
      </c>
      <c r="I1783" s="211">
        <v>1.0044014084507</v>
      </c>
      <c r="J1783" s="211">
        <v>-0.57980547204470501</v>
      </c>
      <c r="K1783" s="288">
        <v>-557.19305863496095</v>
      </c>
    </row>
    <row r="1784" spans="2:11" x14ac:dyDescent="0.2">
      <c r="B1784">
        <v>22</v>
      </c>
      <c r="C1784">
        <v>5555</v>
      </c>
      <c r="D1784" s="308" t="s">
        <v>2356</v>
      </c>
      <c r="E1784" s="291">
        <v>381</v>
      </c>
      <c r="F1784" s="291">
        <v>110</v>
      </c>
      <c r="G1784" s="291">
        <v>406</v>
      </c>
      <c r="H1784" s="287">
        <v>0.28871391076115499</v>
      </c>
      <c r="I1784" s="211">
        <v>1.2093596059113301</v>
      </c>
      <c r="J1784" s="211">
        <v>-0.46882660062290998</v>
      </c>
      <c r="K1784" s="288">
        <v>-178.62293483732901</v>
      </c>
    </row>
    <row r="1785" spans="2:11" x14ac:dyDescent="0.2">
      <c r="B1785">
        <v>22</v>
      </c>
      <c r="C1785">
        <v>5556</v>
      </c>
      <c r="D1785" s="308" t="s">
        <v>2357</v>
      </c>
      <c r="E1785" s="291">
        <v>427</v>
      </c>
      <c r="F1785" s="291">
        <v>52</v>
      </c>
      <c r="G1785" s="291">
        <v>680</v>
      </c>
      <c r="H1785" s="287">
        <v>0.121779859484778</v>
      </c>
      <c r="I1785" s="211">
        <v>0.70441176470588196</v>
      </c>
      <c r="J1785" s="211">
        <v>-0.69235078183173004</v>
      </c>
      <c r="K1785" s="288">
        <v>-295.633783842149</v>
      </c>
    </row>
    <row r="1786" spans="2:11" x14ac:dyDescent="0.2">
      <c r="B1786">
        <v>22</v>
      </c>
      <c r="C1786">
        <v>5557</v>
      </c>
      <c r="D1786" s="308" t="s">
        <v>2358</v>
      </c>
      <c r="E1786" s="291">
        <v>200</v>
      </c>
      <c r="F1786" s="291">
        <v>31</v>
      </c>
      <c r="G1786" s="291">
        <v>792</v>
      </c>
      <c r="H1786" s="287">
        <v>0.155</v>
      </c>
      <c r="I1786" s="211">
        <v>0.29166666666666702</v>
      </c>
      <c r="J1786" s="211">
        <v>-0.67491821354084702</v>
      </c>
      <c r="K1786" s="288">
        <v>-134.98364270816899</v>
      </c>
    </row>
    <row r="1787" spans="2:11" x14ac:dyDescent="0.2">
      <c r="B1787">
        <v>22</v>
      </c>
      <c r="C1787">
        <v>5559</v>
      </c>
      <c r="D1787" s="308" t="s">
        <v>2359</v>
      </c>
      <c r="E1787" s="291">
        <v>412</v>
      </c>
      <c r="F1787" s="291">
        <v>109</v>
      </c>
      <c r="G1787" s="291">
        <v>474</v>
      </c>
      <c r="H1787" s="287">
        <v>0.264563106796116</v>
      </c>
      <c r="I1787" s="211">
        <v>1.0991561181434599</v>
      </c>
      <c r="J1787" s="211">
        <v>-0.50158971429243104</v>
      </c>
      <c r="K1787" s="288">
        <v>-206.65496228848201</v>
      </c>
    </row>
    <row r="1788" spans="2:11" x14ac:dyDescent="0.2">
      <c r="B1788">
        <v>22</v>
      </c>
      <c r="C1788">
        <v>5560</v>
      </c>
      <c r="D1788" s="308" t="s">
        <v>2360</v>
      </c>
      <c r="E1788" s="291">
        <v>232</v>
      </c>
      <c r="F1788" s="291">
        <v>27</v>
      </c>
      <c r="G1788" s="291">
        <v>344</v>
      </c>
      <c r="H1788" s="287">
        <v>0.116379310344828</v>
      </c>
      <c r="I1788" s="211">
        <v>0.75290697674418605</v>
      </c>
      <c r="J1788" s="211">
        <v>-0.70472443753794201</v>
      </c>
      <c r="K1788" s="288">
        <v>-163.496069508803</v>
      </c>
    </row>
    <row r="1789" spans="2:11" x14ac:dyDescent="0.2">
      <c r="B1789">
        <v>22</v>
      </c>
      <c r="C1789">
        <v>5561</v>
      </c>
      <c r="D1789" s="308" t="s">
        <v>2361</v>
      </c>
      <c r="E1789" s="291">
        <v>3316</v>
      </c>
      <c r="F1789" s="291">
        <v>1470</v>
      </c>
      <c r="G1789" s="291">
        <v>766</v>
      </c>
      <c r="H1789" s="287">
        <v>0.44330518697225602</v>
      </c>
      <c r="I1789" s="211">
        <v>6.2480417754569197</v>
      </c>
      <c r="J1789" s="211">
        <v>1.8719508652750801E-2</v>
      </c>
      <c r="K1789" s="288">
        <v>62.073890692521502</v>
      </c>
    </row>
    <row r="1790" spans="2:11" x14ac:dyDescent="0.2">
      <c r="B1790">
        <v>22</v>
      </c>
      <c r="C1790">
        <v>5562</v>
      </c>
      <c r="D1790" s="308" t="s">
        <v>2362</v>
      </c>
      <c r="E1790" s="291">
        <v>123</v>
      </c>
      <c r="F1790" s="291">
        <v>28</v>
      </c>
      <c r="G1790" s="291">
        <v>551</v>
      </c>
      <c r="H1790" s="287">
        <v>0.22764227642276399</v>
      </c>
      <c r="I1790" s="211">
        <v>0.27404718693284902</v>
      </c>
      <c r="J1790" s="211">
        <v>-0.58848748836818598</v>
      </c>
      <c r="K1790" s="288">
        <v>-72.383961069286798</v>
      </c>
    </row>
    <row r="1791" spans="2:11" x14ac:dyDescent="0.2">
      <c r="B1791">
        <v>22</v>
      </c>
      <c r="C1791">
        <v>5563</v>
      </c>
      <c r="D1791" s="308" t="s">
        <v>2363</v>
      </c>
      <c r="E1791" s="291">
        <v>162</v>
      </c>
      <c r="F1791" s="291">
        <v>35</v>
      </c>
      <c r="G1791" s="291">
        <v>322</v>
      </c>
      <c r="H1791" s="287">
        <v>0.21604938271604901</v>
      </c>
      <c r="I1791" s="211">
        <v>0.61180124223602494</v>
      </c>
      <c r="J1791" s="211">
        <v>-0.58903979156404296</v>
      </c>
      <c r="K1791" s="288">
        <v>-95.424446233374894</v>
      </c>
    </row>
    <row r="1792" spans="2:11" x14ac:dyDescent="0.2">
      <c r="B1792">
        <v>22</v>
      </c>
      <c r="C1792">
        <v>5564</v>
      </c>
      <c r="D1792" s="308" t="s">
        <v>2364</v>
      </c>
      <c r="E1792" s="291">
        <v>101</v>
      </c>
      <c r="F1792" s="291">
        <v>28</v>
      </c>
      <c r="G1792" s="291">
        <v>201</v>
      </c>
      <c r="H1792" s="287">
        <v>0.27722772277227697</v>
      </c>
      <c r="I1792" s="211">
        <v>0.64179104477611904</v>
      </c>
      <c r="J1792" s="211">
        <v>-0.51446637943414297</v>
      </c>
      <c r="K1792" s="288">
        <v>-51.961104322848399</v>
      </c>
    </row>
    <row r="1793" spans="2:11" x14ac:dyDescent="0.2">
      <c r="B1793">
        <v>22</v>
      </c>
      <c r="C1793">
        <v>5565</v>
      </c>
      <c r="D1793" s="308" t="s">
        <v>2365</v>
      </c>
      <c r="E1793" s="291">
        <v>500</v>
      </c>
      <c r="F1793" s="291">
        <v>125</v>
      </c>
      <c r="G1793" s="291">
        <v>513</v>
      </c>
      <c r="H1793" s="287">
        <v>0.25</v>
      </c>
      <c r="I1793" s="211">
        <v>1.21832358674464</v>
      </c>
      <c r="J1793" s="211">
        <v>-0.51192551136160602</v>
      </c>
      <c r="K1793" s="288">
        <v>-255.96275568080301</v>
      </c>
    </row>
    <row r="1794" spans="2:11" x14ac:dyDescent="0.2">
      <c r="B1794">
        <v>22</v>
      </c>
      <c r="C1794">
        <v>5566</v>
      </c>
      <c r="D1794" s="308" t="s">
        <v>2366</v>
      </c>
      <c r="E1794" s="291">
        <v>390</v>
      </c>
      <c r="F1794" s="291">
        <v>129</v>
      </c>
      <c r="G1794" s="291">
        <v>3181</v>
      </c>
      <c r="H1794" s="287">
        <v>0.33076923076923098</v>
      </c>
      <c r="I1794" s="211">
        <v>0.16315624017604499</v>
      </c>
      <c r="J1794" s="211">
        <v>-0.45454021425325802</v>
      </c>
      <c r="K1794" s="288">
        <v>-177.270683558771</v>
      </c>
    </row>
    <row r="1795" spans="2:11" x14ac:dyDescent="0.2">
      <c r="B1795">
        <v>22</v>
      </c>
      <c r="C1795">
        <v>5568</v>
      </c>
      <c r="D1795" s="308" t="s">
        <v>2367</v>
      </c>
      <c r="E1795" s="291">
        <v>4912</v>
      </c>
      <c r="F1795" s="291">
        <v>1606</v>
      </c>
      <c r="G1795" s="291">
        <v>3875</v>
      </c>
      <c r="H1795" s="287">
        <v>0.32695439739413701</v>
      </c>
      <c r="I1795" s="211">
        <v>1.68206451612903</v>
      </c>
      <c r="J1795" s="211">
        <v>-0.231066518949888</v>
      </c>
      <c r="K1795" s="288">
        <v>-1134.9987410818501</v>
      </c>
    </row>
    <row r="1796" spans="2:11" x14ac:dyDescent="0.2">
      <c r="B1796">
        <v>22</v>
      </c>
      <c r="C1796">
        <v>5571</v>
      </c>
      <c r="D1796" s="308" t="s">
        <v>2368</v>
      </c>
      <c r="E1796" s="291">
        <v>790</v>
      </c>
      <c r="F1796" s="291">
        <v>111</v>
      </c>
      <c r="G1796" s="291">
        <v>1429</v>
      </c>
      <c r="H1796" s="287">
        <v>0.14050632911392399</v>
      </c>
      <c r="I1796" s="211">
        <v>0.63051084674597602</v>
      </c>
      <c r="J1796" s="211">
        <v>-0.65797186470129498</v>
      </c>
      <c r="K1796" s="288">
        <v>-519.79777311402302</v>
      </c>
    </row>
    <row r="1797" spans="2:11" x14ac:dyDescent="0.2">
      <c r="B1797">
        <v>22</v>
      </c>
      <c r="C1797">
        <v>5581</v>
      </c>
      <c r="D1797" s="308" t="s">
        <v>2369</v>
      </c>
      <c r="E1797" s="291">
        <v>3555</v>
      </c>
      <c r="F1797" s="291">
        <v>552</v>
      </c>
      <c r="G1797" s="291">
        <v>256</v>
      </c>
      <c r="H1797" s="287">
        <v>0.15527426160337601</v>
      </c>
      <c r="I1797" s="211">
        <v>16.04296875</v>
      </c>
      <c r="J1797" s="211">
        <v>2.8303888482774101E-2</v>
      </c>
      <c r="K1797" s="288">
        <v>100.62032355626199</v>
      </c>
    </row>
    <row r="1798" spans="2:11" x14ac:dyDescent="0.2">
      <c r="B1798">
        <v>22</v>
      </c>
      <c r="C1798">
        <v>5582</v>
      </c>
      <c r="D1798" s="308" t="s">
        <v>2370</v>
      </c>
      <c r="E1798" s="291">
        <v>4366</v>
      </c>
      <c r="F1798" s="291">
        <v>2268</v>
      </c>
      <c r="G1798" s="291">
        <v>454</v>
      </c>
      <c r="H1798" s="287">
        <v>0.51946862116353598</v>
      </c>
      <c r="I1798" s="211">
        <v>14.612334801762101</v>
      </c>
      <c r="J1798" s="211">
        <v>0.45839138980109201</v>
      </c>
      <c r="K1798" s="288">
        <v>2001.33680787157</v>
      </c>
    </row>
    <row r="1799" spans="2:11" x14ac:dyDescent="0.2">
      <c r="B1799">
        <v>22</v>
      </c>
      <c r="C1799">
        <v>5583</v>
      </c>
      <c r="D1799" s="308" t="s">
        <v>2371</v>
      </c>
      <c r="E1799" s="291">
        <v>7869</v>
      </c>
      <c r="F1799" s="291">
        <v>8448</v>
      </c>
      <c r="G1799" s="291">
        <v>550</v>
      </c>
      <c r="H1799" s="287">
        <v>1.07357987037743</v>
      </c>
      <c r="I1799" s="211">
        <v>29.667272727272699</v>
      </c>
      <c r="J1799" s="211">
        <v>1.82815644408225</v>
      </c>
      <c r="K1799" s="288">
        <v>14385.7630584833</v>
      </c>
    </row>
    <row r="1800" spans="2:11" x14ac:dyDescent="0.2">
      <c r="B1800">
        <v>22</v>
      </c>
      <c r="C1800">
        <v>5584</v>
      </c>
      <c r="D1800" s="308" t="s">
        <v>2372</v>
      </c>
      <c r="E1800" s="291">
        <v>9326</v>
      </c>
      <c r="F1800" s="291">
        <v>2845</v>
      </c>
      <c r="G1800" s="291">
        <v>461</v>
      </c>
      <c r="H1800" s="287">
        <v>0.30506111945099701</v>
      </c>
      <c r="I1800" s="211">
        <v>26.401301518438199</v>
      </c>
      <c r="J1800" s="211">
        <v>0.81234712991844304</v>
      </c>
      <c r="K1800" s="288">
        <v>7575.9493336194</v>
      </c>
    </row>
    <row r="1801" spans="2:11" x14ac:dyDescent="0.2">
      <c r="B1801">
        <v>22</v>
      </c>
      <c r="C1801">
        <v>5585</v>
      </c>
      <c r="D1801" s="308" t="s">
        <v>2373</v>
      </c>
      <c r="E1801" s="291">
        <v>1447</v>
      </c>
      <c r="F1801" s="291">
        <v>127</v>
      </c>
      <c r="G1801" s="291">
        <v>192</v>
      </c>
      <c r="H1801" s="287">
        <v>8.7767795438839002E-2</v>
      </c>
      <c r="I1801" s="211">
        <v>8.1979166666666696</v>
      </c>
      <c r="J1801" s="211">
        <v>-0.42212159502195001</v>
      </c>
      <c r="K1801" s="288">
        <v>-610.80994799676205</v>
      </c>
    </row>
    <row r="1802" spans="2:11" x14ac:dyDescent="0.2">
      <c r="B1802">
        <v>22</v>
      </c>
      <c r="C1802">
        <v>5586</v>
      </c>
      <c r="D1802" s="308" t="s">
        <v>2374</v>
      </c>
      <c r="E1802" s="291">
        <v>137810</v>
      </c>
      <c r="F1802" s="291">
        <v>117707</v>
      </c>
      <c r="G1802" s="291">
        <v>4128</v>
      </c>
      <c r="H1802" s="287">
        <v>0.85412524490240205</v>
      </c>
      <c r="I1802" s="211">
        <v>61.898498062015499</v>
      </c>
      <c r="J1802" s="211">
        <v>7.6971556619536496</v>
      </c>
      <c r="K1802" s="288">
        <v>1060745.0217738301</v>
      </c>
    </row>
    <row r="1803" spans="2:11" x14ac:dyDescent="0.2">
      <c r="B1803">
        <v>22</v>
      </c>
      <c r="C1803">
        <v>5587</v>
      </c>
      <c r="D1803" s="308" t="s">
        <v>2375</v>
      </c>
      <c r="E1803" s="291">
        <v>7888</v>
      </c>
      <c r="F1803" s="291">
        <v>8310</v>
      </c>
      <c r="G1803" s="291">
        <v>972</v>
      </c>
      <c r="H1803" s="287">
        <v>1.05349898580122</v>
      </c>
      <c r="I1803" s="211">
        <v>16.664609053497902</v>
      </c>
      <c r="J1803" s="211">
        <v>1.3295940693574899</v>
      </c>
      <c r="K1803" s="288">
        <v>10487.8380190919</v>
      </c>
    </row>
    <row r="1804" spans="2:11" x14ac:dyDescent="0.2">
      <c r="B1804">
        <v>22</v>
      </c>
      <c r="C1804">
        <v>5588</v>
      </c>
      <c r="D1804" s="308" t="s">
        <v>2376</v>
      </c>
      <c r="E1804" s="291">
        <v>1478</v>
      </c>
      <c r="F1804" s="291">
        <v>1414</v>
      </c>
      <c r="G1804" s="291">
        <v>49</v>
      </c>
      <c r="H1804" s="287">
        <v>0.95669824086603505</v>
      </c>
      <c r="I1804" s="211">
        <v>59.020408163265301</v>
      </c>
      <c r="J1804" s="211">
        <v>2.5100793468640998</v>
      </c>
      <c r="K1804" s="288">
        <v>3709.8972746651398</v>
      </c>
    </row>
    <row r="1805" spans="2:11" x14ac:dyDescent="0.2">
      <c r="B1805">
        <v>22</v>
      </c>
      <c r="C1805">
        <v>5589</v>
      </c>
      <c r="D1805" s="308" t="s">
        <v>2377</v>
      </c>
      <c r="E1805" s="291">
        <v>12063</v>
      </c>
      <c r="F1805" s="291">
        <v>6218</v>
      </c>
      <c r="G1805" s="291">
        <v>219</v>
      </c>
      <c r="H1805" s="287">
        <v>0.51546049904667202</v>
      </c>
      <c r="I1805" s="211">
        <v>83.474885844748897</v>
      </c>
      <c r="J1805" s="211">
        <v>3.2599872083598598</v>
      </c>
      <c r="K1805" s="288">
        <v>39325.225694444896</v>
      </c>
    </row>
    <row r="1806" spans="2:11" x14ac:dyDescent="0.2">
      <c r="B1806">
        <v>22</v>
      </c>
      <c r="C1806">
        <v>5590</v>
      </c>
      <c r="D1806" s="308" t="s">
        <v>2378</v>
      </c>
      <c r="E1806" s="291">
        <v>17972</v>
      </c>
      <c r="F1806" s="291">
        <v>5862</v>
      </c>
      <c r="G1806" s="291">
        <v>591</v>
      </c>
      <c r="H1806" s="287">
        <v>0.32617404851991999</v>
      </c>
      <c r="I1806" s="211">
        <v>40.328257191201402</v>
      </c>
      <c r="J1806" s="211">
        <v>1.67699641294874</v>
      </c>
      <c r="K1806" s="288">
        <v>30138.979533514699</v>
      </c>
    </row>
    <row r="1807" spans="2:11" x14ac:dyDescent="0.2">
      <c r="B1807">
        <v>22</v>
      </c>
      <c r="C1807">
        <v>5591</v>
      </c>
      <c r="D1807" s="308" t="s">
        <v>2379</v>
      </c>
      <c r="E1807" s="291">
        <v>20523</v>
      </c>
      <c r="F1807" s="291">
        <v>13104</v>
      </c>
      <c r="G1807" s="291">
        <v>295</v>
      </c>
      <c r="H1807" s="287">
        <v>0.63850314281537801</v>
      </c>
      <c r="I1807" s="211">
        <v>113.98983050847499</v>
      </c>
      <c r="J1807" s="211">
        <v>4.8490533478149702</v>
      </c>
      <c r="K1807" s="288">
        <v>99517.121857206599</v>
      </c>
    </row>
    <row r="1808" spans="2:11" x14ac:dyDescent="0.2">
      <c r="B1808">
        <v>22</v>
      </c>
      <c r="C1808">
        <v>5592</v>
      </c>
      <c r="D1808" s="308" t="s">
        <v>2380</v>
      </c>
      <c r="E1808" s="291">
        <v>3345</v>
      </c>
      <c r="F1808" s="291">
        <v>1402</v>
      </c>
      <c r="G1808" s="291">
        <v>289</v>
      </c>
      <c r="H1808" s="287">
        <v>0.41913303437967098</v>
      </c>
      <c r="I1808" s="211">
        <v>16.425605536332199</v>
      </c>
      <c r="J1808" s="211">
        <v>0.361204812885141</v>
      </c>
      <c r="K1808" s="288">
        <v>1208.2300991008001</v>
      </c>
    </row>
    <row r="1809" spans="2:11" x14ac:dyDescent="0.2">
      <c r="B1809">
        <v>22</v>
      </c>
      <c r="C1809">
        <v>5601</v>
      </c>
      <c r="D1809" s="308" t="s">
        <v>2381</v>
      </c>
      <c r="E1809" s="291">
        <v>2253</v>
      </c>
      <c r="F1809" s="291">
        <v>844</v>
      </c>
      <c r="G1809" s="291">
        <v>220</v>
      </c>
      <c r="H1809" s="287">
        <v>0.37461162893919198</v>
      </c>
      <c r="I1809" s="211">
        <v>14.0772727272727</v>
      </c>
      <c r="J1809" s="211">
        <v>0.178631340074525</v>
      </c>
      <c r="K1809" s="288">
        <v>402.456409187904</v>
      </c>
    </row>
    <row r="1810" spans="2:11" x14ac:dyDescent="0.2">
      <c r="B1810">
        <v>22</v>
      </c>
      <c r="C1810">
        <v>5604</v>
      </c>
      <c r="D1810" s="308" t="s">
        <v>2382</v>
      </c>
      <c r="E1810" s="291">
        <v>2075</v>
      </c>
      <c r="F1810" s="291">
        <v>844</v>
      </c>
      <c r="G1810" s="291">
        <v>1842</v>
      </c>
      <c r="H1810" s="287">
        <v>0.40674698795180703</v>
      </c>
      <c r="I1810" s="211">
        <v>1.5846905537459299</v>
      </c>
      <c r="J1810" s="211">
        <v>-0.24414337527401</v>
      </c>
      <c r="K1810" s="288">
        <v>-506.59750369357198</v>
      </c>
    </row>
    <row r="1811" spans="2:11" x14ac:dyDescent="0.2">
      <c r="B1811">
        <v>22</v>
      </c>
      <c r="C1811">
        <v>5606</v>
      </c>
      <c r="D1811" s="308" t="s">
        <v>2383</v>
      </c>
      <c r="E1811" s="291">
        <v>9891</v>
      </c>
      <c r="F1811" s="291">
        <v>2786</v>
      </c>
      <c r="G1811" s="291">
        <v>840</v>
      </c>
      <c r="H1811" s="287">
        <v>0.28167020523708403</v>
      </c>
      <c r="I1811" s="211">
        <v>15.091666666666701</v>
      </c>
      <c r="J1811" s="211">
        <v>0.39231595817509701</v>
      </c>
      <c r="K1811" s="288">
        <v>3880.3971423098801</v>
      </c>
    </row>
    <row r="1812" spans="2:11" x14ac:dyDescent="0.2">
      <c r="B1812">
        <v>22</v>
      </c>
      <c r="C1812">
        <v>5607</v>
      </c>
      <c r="D1812" s="308" t="s">
        <v>2384</v>
      </c>
      <c r="E1812" s="291">
        <v>2863</v>
      </c>
      <c r="F1812" s="291">
        <v>1790</v>
      </c>
      <c r="G1812" s="291">
        <v>2218</v>
      </c>
      <c r="H1812" s="287">
        <v>0.62521830247991605</v>
      </c>
      <c r="I1812" s="211">
        <v>2.0978358881875598</v>
      </c>
      <c r="J1812" s="211">
        <v>7.5409719673976597E-2</v>
      </c>
      <c r="K1812" s="288">
        <v>215.89802742659501</v>
      </c>
    </row>
    <row r="1813" spans="2:11" x14ac:dyDescent="0.2">
      <c r="B1813">
        <v>22</v>
      </c>
      <c r="C1813">
        <v>5609</v>
      </c>
      <c r="D1813" s="308" t="s">
        <v>2385</v>
      </c>
      <c r="E1813" s="291">
        <v>358</v>
      </c>
      <c r="F1813" s="291">
        <v>130</v>
      </c>
      <c r="G1813" s="291">
        <v>29</v>
      </c>
      <c r="H1813" s="287">
        <v>0.36312849162011201</v>
      </c>
      <c r="I1813" s="211">
        <v>16.827586206896601</v>
      </c>
      <c r="J1813" s="211">
        <v>0.19234065286395399</v>
      </c>
      <c r="K1813" s="288">
        <v>68.857953725295403</v>
      </c>
    </row>
    <row r="1814" spans="2:11" x14ac:dyDescent="0.2">
      <c r="B1814">
        <v>22</v>
      </c>
      <c r="C1814">
        <v>5610</v>
      </c>
      <c r="D1814" s="308" t="s">
        <v>2386</v>
      </c>
      <c r="E1814" s="291">
        <v>393</v>
      </c>
      <c r="F1814" s="291">
        <v>63</v>
      </c>
      <c r="G1814" s="291">
        <v>87</v>
      </c>
      <c r="H1814" s="287">
        <v>0.16030534351145001</v>
      </c>
      <c r="I1814" s="211">
        <v>5.2413793103448301</v>
      </c>
      <c r="J1814" s="211">
        <v>-0.48037831672732401</v>
      </c>
      <c r="K1814" s="288">
        <v>-188.78867847383799</v>
      </c>
    </row>
    <row r="1815" spans="2:11" x14ac:dyDescent="0.2">
      <c r="B1815">
        <v>22</v>
      </c>
      <c r="C1815">
        <v>5611</v>
      </c>
      <c r="D1815" s="308" t="s">
        <v>2387</v>
      </c>
      <c r="E1815" s="291">
        <v>3312</v>
      </c>
      <c r="F1815" s="291">
        <v>1460</v>
      </c>
      <c r="G1815" s="291">
        <v>1609</v>
      </c>
      <c r="H1815" s="287">
        <v>0.44082125603864702</v>
      </c>
      <c r="I1815" s="211">
        <v>2.96581727781231</v>
      </c>
      <c r="J1815" s="211">
        <v>-0.104263959200315</v>
      </c>
      <c r="K1815" s="288">
        <v>-345.32223287144399</v>
      </c>
    </row>
    <row r="1816" spans="2:11" x14ac:dyDescent="0.2">
      <c r="B1816">
        <v>22</v>
      </c>
      <c r="C1816">
        <v>5613</v>
      </c>
      <c r="D1816" s="308" t="s">
        <v>2388</v>
      </c>
      <c r="E1816" s="291">
        <v>5290</v>
      </c>
      <c r="F1816" s="291">
        <v>1851</v>
      </c>
      <c r="G1816" s="291">
        <v>960</v>
      </c>
      <c r="H1816" s="287">
        <v>0.349905482041588</v>
      </c>
      <c r="I1816" s="211">
        <v>7.4385416666666702</v>
      </c>
      <c r="J1816" s="211">
        <v>2.1843067486925199E-2</v>
      </c>
      <c r="K1816" s="288">
        <v>115.549827005835</v>
      </c>
    </row>
    <row r="1817" spans="2:11" x14ac:dyDescent="0.2">
      <c r="B1817">
        <v>22</v>
      </c>
      <c r="C1817">
        <v>5621</v>
      </c>
      <c r="D1817" s="308" t="s">
        <v>2389</v>
      </c>
      <c r="E1817" s="291">
        <v>521</v>
      </c>
      <c r="F1817" s="291">
        <v>1566</v>
      </c>
      <c r="G1817" s="291">
        <v>388</v>
      </c>
      <c r="H1817" s="287">
        <v>3.0057581573896401</v>
      </c>
      <c r="I1817" s="211">
        <v>5.3788659793814402</v>
      </c>
      <c r="J1817" s="211">
        <v>3.0555118392096401</v>
      </c>
      <c r="K1817" s="288">
        <v>1591.9216682282199</v>
      </c>
    </row>
    <row r="1818" spans="2:11" x14ac:dyDescent="0.2">
      <c r="B1818">
        <v>22</v>
      </c>
      <c r="C1818">
        <v>5622</v>
      </c>
      <c r="D1818" s="308" t="s">
        <v>2390</v>
      </c>
      <c r="E1818" s="291">
        <v>517</v>
      </c>
      <c r="F1818" s="291">
        <v>384</v>
      </c>
      <c r="G1818" s="291">
        <v>293</v>
      </c>
      <c r="H1818" s="287">
        <v>0.74274661508704098</v>
      </c>
      <c r="I1818" s="211">
        <v>3.0750853242320799</v>
      </c>
      <c r="J1818" s="211">
        <v>0.16706232116219599</v>
      </c>
      <c r="K1818" s="288">
        <v>86.371220040855604</v>
      </c>
    </row>
    <row r="1819" spans="2:11" x14ac:dyDescent="0.2">
      <c r="B1819">
        <v>22</v>
      </c>
      <c r="C1819">
        <v>5623</v>
      </c>
      <c r="D1819" s="308" t="s">
        <v>2391</v>
      </c>
      <c r="E1819" s="291">
        <v>622</v>
      </c>
      <c r="F1819" s="291">
        <v>92</v>
      </c>
      <c r="G1819" s="291">
        <v>211</v>
      </c>
      <c r="H1819" s="287">
        <v>0.14790996784565899</v>
      </c>
      <c r="I1819" s="211">
        <v>3.3838862559241698</v>
      </c>
      <c r="J1819" s="211">
        <v>-0.554759267185856</v>
      </c>
      <c r="K1819" s="288">
        <v>-345.06026418960198</v>
      </c>
    </row>
    <row r="1820" spans="2:11" x14ac:dyDescent="0.2">
      <c r="B1820">
        <v>22</v>
      </c>
      <c r="C1820">
        <v>5624</v>
      </c>
      <c r="D1820" s="308" t="s">
        <v>2392</v>
      </c>
      <c r="E1820" s="291">
        <v>8268</v>
      </c>
      <c r="F1820" s="291">
        <v>6536</v>
      </c>
      <c r="G1820" s="291">
        <v>474</v>
      </c>
      <c r="H1820" s="287">
        <v>0.79051765844218702</v>
      </c>
      <c r="I1820" s="211">
        <v>31.2320675105485</v>
      </c>
      <c r="J1820" s="211">
        <v>1.5497333350218601</v>
      </c>
      <c r="K1820" s="288">
        <v>12813.1952139607</v>
      </c>
    </row>
    <row r="1821" spans="2:11" x14ac:dyDescent="0.2">
      <c r="B1821">
        <v>22</v>
      </c>
      <c r="C1821">
        <v>5625</v>
      </c>
      <c r="D1821" s="308" t="s">
        <v>2393</v>
      </c>
      <c r="E1821" s="291">
        <v>370</v>
      </c>
      <c r="F1821" s="291">
        <v>69</v>
      </c>
      <c r="G1821" s="291">
        <v>304</v>
      </c>
      <c r="H1821" s="287">
        <v>0.186486486486486</v>
      </c>
      <c r="I1821" s="211">
        <v>1.4440789473684199</v>
      </c>
      <c r="J1821" s="211">
        <v>-0.587359680833623</v>
      </c>
      <c r="K1821" s="288">
        <v>-217.32308190844</v>
      </c>
    </row>
    <row r="1822" spans="2:11" x14ac:dyDescent="0.2">
      <c r="B1822">
        <v>22</v>
      </c>
      <c r="C1822">
        <v>5627</v>
      </c>
      <c r="D1822" s="308" t="s">
        <v>2394</v>
      </c>
      <c r="E1822" s="291">
        <v>7585</v>
      </c>
      <c r="F1822" s="291">
        <v>4406</v>
      </c>
      <c r="G1822" s="291">
        <v>164</v>
      </c>
      <c r="H1822" s="287">
        <v>0.58088332234673701</v>
      </c>
      <c r="I1822" s="211">
        <v>73.115853658536594</v>
      </c>
      <c r="J1822" s="211">
        <v>2.7920034139830698</v>
      </c>
      <c r="K1822" s="288">
        <v>21177.3458950616</v>
      </c>
    </row>
    <row r="1823" spans="2:11" x14ac:dyDescent="0.2">
      <c r="B1823">
        <v>22</v>
      </c>
      <c r="C1823">
        <v>5628</v>
      </c>
      <c r="D1823" s="308" t="s">
        <v>2395</v>
      </c>
      <c r="E1823" s="291">
        <v>341</v>
      </c>
      <c r="F1823" s="291">
        <v>58</v>
      </c>
      <c r="G1823" s="291">
        <v>86</v>
      </c>
      <c r="H1823" s="287">
        <v>0.17008797653958899</v>
      </c>
      <c r="I1823" s="211">
        <v>4.6395348837209296</v>
      </c>
      <c r="J1823" s="211">
        <v>-0.49220133795639598</v>
      </c>
      <c r="K1823" s="288">
        <v>-167.84065624313101</v>
      </c>
    </row>
    <row r="1824" spans="2:11" x14ac:dyDescent="0.2">
      <c r="B1824">
        <v>22</v>
      </c>
      <c r="C1824">
        <v>5629</v>
      </c>
      <c r="D1824" s="308" t="s">
        <v>2396</v>
      </c>
      <c r="E1824" s="291">
        <v>175</v>
      </c>
      <c r="F1824" s="291">
        <v>51</v>
      </c>
      <c r="G1824" s="291">
        <v>101</v>
      </c>
      <c r="H1824" s="287">
        <v>0.29142857142857098</v>
      </c>
      <c r="I1824" s="211">
        <v>2.2376237623762401</v>
      </c>
      <c r="J1824" s="211">
        <v>-0.43581741319770001</v>
      </c>
      <c r="K1824" s="288">
        <v>-76.268047309597506</v>
      </c>
    </row>
    <row r="1825" spans="2:11" x14ac:dyDescent="0.2">
      <c r="B1825">
        <v>22</v>
      </c>
      <c r="C1825">
        <v>5631</v>
      </c>
      <c r="D1825" s="308" t="s">
        <v>2397</v>
      </c>
      <c r="E1825" s="291">
        <v>767</v>
      </c>
      <c r="F1825" s="291">
        <v>103</v>
      </c>
      <c r="G1825" s="291">
        <v>329</v>
      </c>
      <c r="H1825" s="287">
        <v>0.134289439374185</v>
      </c>
      <c r="I1825" s="211">
        <v>2.6443768996960499</v>
      </c>
      <c r="J1825" s="211">
        <v>-0.59307811472749505</v>
      </c>
      <c r="K1825" s="288">
        <v>-454.89091399598902</v>
      </c>
    </row>
    <row r="1826" spans="2:11" x14ac:dyDescent="0.2">
      <c r="B1826">
        <v>22</v>
      </c>
      <c r="C1826">
        <v>5632</v>
      </c>
      <c r="D1826" s="308" t="s">
        <v>2398</v>
      </c>
      <c r="E1826" s="291">
        <v>1625</v>
      </c>
      <c r="F1826" s="291">
        <v>883</v>
      </c>
      <c r="G1826" s="291">
        <v>167</v>
      </c>
      <c r="H1826" s="287">
        <v>0.54338461538461502</v>
      </c>
      <c r="I1826" s="211">
        <v>15.0179640718563</v>
      </c>
      <c r="J1826" s="211">
        <v>0.39809454337167399</v>
      </c>
      <c r="K1826" s="288">
        <v>646.90363297897102</v>
      </c>
    </row>
    <row r="1827" spans="2:11" x14ac:dyDescent="0.2">
      <c r="B1827">
        <v>22</v>
      </c>
      <c r="C1827">
        <v>5633</v>
      </c>
      <c r="D1827" s="308" t="s">
        <v>2399</v>
      </c>
      <c r="E1827" s="291">
        <v>2738</v>
      </c>
      <c r="F1827" s="291">
        <v>1327</v>
      </c>
      <c r="G1827" s="291">
        <v>386</v>
      </c>
      <c r="H1827" s="287">
        <v>0.48466033601168701</v>
      </c>
      <c r="I1827" s="211">
        <v>10.531088082901601</v>
      </c>
      <c r="J1827" s="211">
        <v>0.204148073499064</v>
      </c>
      <c r="K1827" s="288">
        <v>558.95742524043703</v>
      </c>
    </row>
    <row r="1828" spans="2:11" x14ac:dyDescent="0.2">
      <c r="B1828">
        <v>22</v>
      </c>
      <c r="C1828">
        <v>5634</v>
      </c>
      <c r="D1828" s="308" t="s">
        <v>2400</v>
      </c>
      <c r="E1828" s="291">
        <v>2642</v>
      </c>
      <c r="F1828" s="291">
        <v>764</v>
      </c>
      <c r="G1828" s="291">
        <v>1324</v>
      </c>
      <c r="H1828" s="287">
        <v>0.28917486752460297</v>
      </c>
      <c r="I1828" s="211">
        <v>2.57250755287009</v>
      </c>
      <c r="J1828" s="211">
        <v>-0.33212905745962201</v>
      </c>
      <c r="K1828" s="288">
        <v>-877.48496980832101</v>
      </c>
    </row>
    <row r="1829" spans="2:11" x14ac:dyDescent="0.2">
      <c r="B1829">
        <v>22</v>
      </c>
      <c r="C1829">
        <v>5635</v>
      </c>
      <c r="D1829" s="308" t="s">
        <v>2401</v>
      </c>
      <c r="E1829" s="291">
        <v>12342</v>
      </c>
      <c r="F1829" s="291">
        <v>15847</v>
      </c>
      <c r="G1829" s="291">
        <v>567</v>
      </c>
      <c r="H1829" s="287">
        <v>1.2839896289094199</v>
      </c>
      <c r="I1829" s="211">
        <v>49.716049382716101</v>
      </c>
      <c r="J1829" s="211">
        <v>2.9912833455707499</v>
      </c>
      <c r="K1829" s="288">
        <v>36918.419051034201</v>
      </c>
    </row>
    <row r="1830" spans="2:11" x14ac:dyDescent="0.2">
      <c r="B1830">
        <v>22</v>
      </c>
      <c r="C1830">
        <v>5636</v>
      </c>
      <c r="D1830" s="308" t="s">
        <v>2402</v>
      </c>
      <c r="E1830" s="291">
        <v>2916</v>
      </c>
      <c r="F1830" s="291">
        <v>2734</v>
      </c>
      <c r="G1830" s="291">
        <v>492</v>
      </c>
      <c r="H1830" s="287">
        <v>0.93758573388203004</v>
      </c>
      <c r="I1830" s="211">
        <v>11.483739837398399</v>
      </c>
      <c r="J1830" s="211">
        <v>0.80695596830286298</v>
      </c>
      <c r="K1830" s="288">
        <v>2353.08360357115</v>
      </c>
    </row>
    <row r="1831" spans="2:11" x14ac:dyDescent="0.2">
      <c r="B1831">
        <v>22</v>
      </c>
      <c r="C1831">
        <v>5637</v>
      </c>
      <c r="D1831" s="308" t="s">
        <v>2403</v>
      </c>
      <c r="E1831" s="291">
        <v>1007</v>
      </c>
      <c r="F1831" s="291">
        <v>863</v>
      </c>
      <c r="G1831" s="291">
        <v>394</v>
      </c>
      <c r="H1831" s="287">
        <v>0.85700099304865895</v>
      </c>
      <c r="I1831" s="211">
        <v>4.7461928934010196</v>
      </c>
      <c r="J1831" s="211">
        <v>0.38833559155517899</v>
      </c>
      <c r="K1831" s="288">
        <v>391.05394069606501</v>
      </c>
    </row>
    <row r="1832" spans="2:11" x14ac:dyDescent="0.2">
      <c r="B1832">
        <v>22</v>
      </c>
      <c r="C1832">
        <v>5638</v>
      </c>
      <c r="D1832" s="308" t="s">
        <v>2404</v>
      </c>
      <c r="E1832" s="291">
        <v>2528</v>
      </c>
      <c r="F1832" s="291">
        <v>1680</v>
      </c>
      <c r="G1832" s="291">
        <v>369</v>
      </c>
      <c r="H1832" s="287">
        <v>0.664556962025316</v>
      </c>
      <c r="I1832" s="211">
        <v>11.403794037940401</v>
      </c>
      <c r="J1832" s="211">
        <v>0.45088638957037702</v>
      </c>
      <c r="K1832" s="288">
        <v>1139.84079283391</v>
      </c>
    </row>
    <row r="1833" spans="2:11" x14ac:dyDescent="0.2">
      <c r="B1833">
        <v>22</v>
      </c>
      <c r="C1833">
        <v>5639</v>
      </c>
      <c r="D1833" s="308" t="s">
        <v>2405</v>
      </c>
      <c r="E1833" s="291">
        <v>787</v>
      </c>
      <c r="F1833" s="291">
        <v>197</v>
      </c>
      <c r="G1833" s="291">
        <v>205</v>
      </c>
      <c r="H1833" s="287">
        <v>0.25031766200762401</v>
      </c>
      <c r="I1833" s="211">
        <v>4.8</v>
      </c>
      <c r="J1833" s="211">
        <v>-0.36988756206904</v>
      </c>
      <c r="K1833" s="288">
        <v>-291.10151134833399</v>
      </c>
    </row>
    <row r="1834" spans="2:11" x14ac:dyDescent="0.2">
      <c r="B1834">
        <v>22</v>
      </c>
      <c r="C1834">
        <v>5640</v>
      </c>
      <c r="D1834" s="308" t="s">
        <v>2406</v>
      </c>
      <c r="E1834" s="291">
        <v>645</v>
      </c>
      <c r="F1834" s="291">
        <v>266</v>
      </c>
      <c r="G1834" s="291">
        <v>234</v>
      </c>
      <c r="H1834" s="287">
        <v>0.41240310077519399</v>
      </c>
      <c r="I1834" s="211">
        <v>3.89316239316239</v>
      </c>
      <c r="J1834" s="211">
        <v>-0.207548997422427</v>
      </c>
      <c r="K1834" s="288">
        <v>-133.86910333746499</v>
      </c>
    </row>
    <row r="1835" spans="2:11" x14ac:dyDescent="0.2">
      <c r="B1835">
        <v>22</v>
      </c>
      <c r="C1835">
        <v>5642</v>
      </c>
      <c r="D1835" s="308" t="s">
        <v>2407</v>
      </c>
      <c r="E1835" s="291">
        <v>15889</v>
      </c>
      <c r="F1835" s="291">
        <v>10540</v>
      </c>
      <c r="G1835" s="291">
        <v>385</v>
      </c>
      <c r="H1835" s="287">
        <v>0.66335200453143695</v>
      </c>
      <c r="I1835" s="211">
        <v>68.646753246753207</v>
      </c>
      <c r="J1835" s="211">
        <v>3.04843104091082</v>
      </c>
      <c r="K1835" s="288">
        <v>48436.520809032103</v>
      </c>
    </row>
    <row r="1836" spans="2:11" x14ac:dyDescent="0.2">
      <c r="B1836">
        <v>22</v>
      </c>
      <c r="C1836">
        <v>5643</v>
      </c>
      <c r="D1836" s="308" t="s">
        <v>2408</v>
      </c>
      <c r="E1836" s="291">
        <v>5292</v>
      </c>
      <c r="F1836" s="291">
        <v>1498</v>
      </c>
      <c r="G1836" s="291">
        <v>183</v>
      </c>
      <c r="H1836" s="287">
        <v>0.28306878306878303</v>
      </c>
      <c r="I1836" s="211">
        <v>37.103825136612002</v>
      </c>
      <c r="J1836" s="211">
        <v>1.0214417773843101</v>
      </c>
      <c r="K1836" s="288">
        <v>5405.4698859177797</v>
      </c>
    </row>
    <row r="1837" spans="2:11" x14ac:dyDescent="0.2">
      <c r="B1837">
        <v>22</v>
      </c>
      <c r="C1837">
        <v>5644</v>
      </c>
      <c r="D1837" s="308" t="s">
        <v>2409</v>
      </c>
      <c r="E1837" s="291">
        <v>371</v>
      </c>
      <c r="F1837" s="291">
        <v>86</v>
      </c>
      <c r="G1837" s="291">
        <v>116</v>
      </c>
      <c r="H1837" s="287">
        <v>0.23180592991913701</v>
      </c>
      <c r="I1837" s="211">
        <v>3.93965517241379</v>
      </c>
      <c r="J1837" s="211">
        <v>-0.44011163304436102</v>
      </c>
      <c r="K1837" s="288">
        <v>-163.28141585945801</v>
      </c>
    </row>
    <row r="1838" spans="2:11" x14ac:dyDescent="0.2">
      <c r="B1838">
        <v>22</v>
      </c>
      <c r="C1838">
        <v>5645</v>
      </c>
      <c r="D1838" s="308" t="s">
        <v>2410</v>
      </c>
      <c r="E1838" s="291">
        <v>478</v>
      </c>
      <c r="F1838" s="291">
        <v>467</v>
      </c>
      <c r="G1838" s="291">
        <v>171</v>
      </c>
      <c r="H1838" s="287">
        <v>0.97698744769874502</v>
      </c>
      <c r="I1838" s="211">
        <v>5.5263157894736796</v>
      </c>
      <c r="J1838" s="211">
        <v>0.545268638507866</v>
      </c>
      <c r="K1838" s="288">
        <v>260.63840920676</v>
      </c>
    </row>
    <row r="1839" spans="2:11" x14ac:dyDescent="0.2">
      <c r="B1839">
        <v>22</v>
      </c>
      <c r="C1839">
        <v>5646</v>
      </c>
      <c r="D1839" s="308" t="s">
        <v>2411</v>
      </c>
      <c r="E1839" s="291">
        <v>5687</v>
      </c>
      <c r="F1839" s="291">
        <v>2617</v>
      </c>
      <c r="G1839" s="291">
        <v>547</v>
      </c>
      <c r="H1839" s="287">
        <v>0.460172322841569</v>
      </c>
      <c r="I1839" s="211">
        <v>15.180987202924999</v>
      </c>
      <c r="J1839" s="211">
        <v>0.45613565107461601</v>
      </c>
      <c r="K1839" s="288">
        <v>2594.04344766134</v>
      </c>
    </row>
    <row r="1840" spans="2:11" x14ac:dyDescent="0.2">
      <c r="B1840">
        <v>22</v>
      </c>
      <c r="C1840">
        <v>5648</v>
      </c>
      <c r="D1840" s="308" t="s">
        <v>2412</v>
      </c>
      <c r="E1840" s="291">
        <v>4148</v>
      </c>
      <c r="F1840" s="291">
        <v>1215</v>
      </c>
      <c r="G1840" s="291">
        <v>182</v>
      </c>
      <c r="H1840" s="287">
        <v>0.29291224686596001</v>
      </c>
      <c r="I1840" s="211">
        <v>29.467032967032999</v>
      </c>
      <c r="J1840" s="211">
        <v>0.71129788814412198</v>
      </c>
      <c r="K1840" s="288">
        <v>2950.4636400218201</v>
      </c>
    </row>
    <row r="1841" spans="2:11" x14ac:dyDescent="0.2">
      <c r="B1841">
        <v>22</v>
      </c>
      <c r="C1841">
        <v>5649</v>
      </c>
      <c r="D1841" s="308" t="s">
        <v>2413</v>
      </c>
      <c r="E1841" s="291">
        <v>1866</v>
      </c>
      <c r="F1841" s="291">
        <v>2333</v>
      </c>
      <c r="G1841" s="291">
        <v>158</v>
      </c>
      <c r="H1841" s="287">
        <v>1.2502679528403</v>
      </c>
      <c r="I1841" s="211">
        <v>26.575949367088601</v>
      </c>
      <c r="J1841" s="211">
        <v>1.7049429712256401</v>
      </c>
      <c r="K1841" s="288">
        <v>3181.4235843070401</v>
      </c>
    </row>
    <row r="1842" spans="2:11" x14ac:dyDescent="0.2">
      <c r="B1842">
        <v>22</v>
      </c>
      <c r="C1842">
        <v>5650</v>
      </c>
      <c r="D1842" s="308" t="s">
        <v>2414</v>
      </c>
      <c r="E1842" s="291">
        <v>199</v>
      </c>
      <c r="F1842" s="291">
        <v>80</v>
      </c>
      <c r="G1842" s="291">
        <v>210</v>
      </c>
      <c r="H1842" s="287">
        <v>0.40201005025125602</v>
      </c>
      <c r="I1842" s="211">
        <v>1.3285714285714301</v>
      </c>
      <c r="J1842" s="211">
        <v>-0.331038742075071</v>
      </c>
      <c r="K1842" s="288">
        <v>-65.8767096729391</v>
      </c>
    </row>
    <row r="1843" spans="2:11" x14ac:dyDescent="0.2">
      <c r="B1843">
        <v>22</v>
      </c>
      <c r="C1843">
        <v>5651</v>
      </c>
      <c r="D1843" s="308" t="s">
        <v>2415</v>
      </c>
      <c r="E1843" s="291">
        <v>845</v>
      </c>
      <c r="F1843" s="291">
        <v>964</v>
      </c>
      <c r="G1843" s="291">
        <v>165</v>
      </c>
      <c r="H1843" s="287">
        <v>1.14082840236686</v>
      </c>
      <c r="I1843" s="211">
        <v>10.9636363636364</v>
      </c>
      <c r="J1843" s="211">
        <v>0.96069910372895895</v>
      </c>
      <c r="K1843" s="288">
        <v>811.79074265096995</v>
      </c>
    </row>
    <row r="1844" spans="2:11" x14ac:dyDescent="0.2">
      <c r="B1844">
        <v>22</v>
      </c>
      <c r="C1844">
        <v>5652</v>
      </c>
      <c r="D1844" s="308" t="s">
        <v>2416</v>
      </c>
      <c r="E1844" s="291">
        <v>594</v>
      </c>
      <c r="F1844" s="291">
        <v>93</v>
      </c>
      <c r="G1844" s="291">
        <v>307</v>
      </c>
      <c r="H1844" s="287">
        <v>0.15656565656565699</v>
      </c>
      <c r="I1844" s="211">
        <v>2.2377850162866499</v>
      </c>
      <c r="J1844" s="211">
        <v>-0.58691905122197197</v>
      </c>
      <c r="K1844" s="288">
        <v>-348.62991642585098</v>
      </c>
    </row>
    <row r="1845" spans="2:11" x14ac:dyDescent="0.2">
      <c r="B1845">
        <v>22</v>
      </c>
      <c r="C1845">
        <v>5653</v>
      </c>
      <c r="D1845" s="308" t="s">
        <v>2417</v>
      </c>
      <c r="E1845" s="291">
        <v>843</v>
      </c>
      <c r="F1845" s="291">
        <v>139</v>
      </c>
      <c r="G1845" s="291">
        <v>215</v>
      </c>
      <c r="H1845" s="287">
        <v>0.16488730723606199</v>
      </c>
      <c r="I1845" s="211">
        <v>4.5674418604651201</v>
      </c>
      <c r="J1845" s="211">
        <v>-0.48209499591083799</v>
      </c>
      <c r="K1845" s="288">
        <v>-406.40608155283599</v>
      </c>
    </row>
    <row r="1846" spans="2:11" x14ac:dyDescent="0.2">
      <c r="B1846">
        <v>22</v>
      </c>
      <c r="C1846">
        <v>5654</v>
      </c>
      <c r="D1846" s="308" t="s">
        <v>2418</v>
      </c>
      <c r="E1846" s="291">
        <v>460</v>
      </c>
      <c r="F1846" s="291">
        <v>123</v>
      </c>
      <c r="G1846" s="291">
        <v>682</v>
      </c>
      <c r="H1846" s="287">
        <v>0.26739130434782599</v>
      </c>
      <c r="I1846" s="211">
        <v>0.85483870967741904</v>
      </c>
      <c r="J1846" s="211">
        <v>-0.50516502934009899</v>
      </c>
      <c r="K1846" s="288">
        <v>-232.37591349644501</v>
      </c>
    </row>
    <row r="1847" spans="2:11" x14ac:dyDescent="0.2">
      <c r="B1847">
        <v>22</v>
      </c>
      <c r="C1847">
        <v>5655</v>
      </c>
      <c r="D1847" s="308" t="s">
        <v>2419</v>
      </c>
      <c r="E1847" s="291">
        <v>1382</v>
      </c>
      <c r="F1847" s="291">
        <v>406</v>
      </c>
      <c r="G1847" s="291">
        <v>953</v>
      </c>
      <c r="H1847" s="287">
        <v>0.293777134587554</v>
      </c>
      <c r="I1847" s="211">
        <v>1.87618048268625</v>
      </c>
      <c r="J1847" s="211">
        <v>-0.39997566019474901</v>
      </c>
      <c r="K1847" s="288">
        <v>-552.76636238914296</v>
      </c>
    </row>
    <row r="1848" spans="2:11" x14ac:dyDescent="0.2">
      <c r="B1848">
        <v>22</v>
      </c>
      <c r="C1848">
        <v>5661</v>
      </c>
      <c r="D1848" s="308" t="s">
        <v>2420</v>
      </c>
      <c r="E1848" s="291">
        <v>368</v>
      </c>
      <c r="F1848" s="291">
        <v>70</v>
      </c>
      <c r="G1848" s="291">
        <v>342</v>
      </c>
      <c r="H1848" s="287">
        <v>0.190217391304348</v>
      </c>
      <c r="I1848" s="211">
        <v>1.28070175438596</v>
      </c>
      <c r="J1848" s="211">
        <v>-0.58877374656576897</v>
      </c>
      <c r="K1848" s="288">
        <v>-216.66873873620301</v>
      </c>
    </row>
    <row r="1849" spans="2:11" x14ac:dyDescent="0.2">
      <c r="B1849">
        <v>22</v>
      </c>
      <c r="C1849">
        <v>5663</v>
      </c>
      <c r="D1849" s="308" t="s">
        <v>2421</v>
      </c>
      <c r="E1849" s="291">
        <v>208</v>
      </c>
      <c r="F1849" s="291">
        <v>25</v>
      </c>
      <c r="G1849" s="291">
        <v>313</v>
      </c>
      <c r="H1849" s="287">
        <v>0.120192307692308</v>
      </c>
      <c r="I1849" s="211">
        <v>0.74440894568690097</v>
      </c>
      <c r="J1849" s="211">
        <v>-0.70122658759321399</v>
      </c>
      <c r="K1849" s="288">
        <v>-145.855130219388</v>
      </c>
    </row>
    <row r="1850" spans="2:11" x14ac:dyDescent="0.2">
      <c r="B1850">
        <v>22</v>
      </c>
      <c r="C1850">
        <v>5665</v>
      </c>
      <c r="D1850" s="308" t="s">
        <v>2422</v>
      </c>
      <c r="E1850" s="291">
        <v>223</v>
      </c>
      <c r="F1850" s="291">
        <v>63</v>
      </c>
      <c r="G1850" s="291">
        <v>514</v>
      </c>
      <c r="H1850" s="287">
        <v>0.28251121076233199</v>
      </c>
      <c r="I1850" s="211">
        <v>0.55642023346303504</v>
      </c>
      <c r="J1850" s="211">
        <v>-0.50637248676005997</v>
      </c>
      <c r="K1850" s="288">
        <v>-112.921064547493</v>
      </c>
    </row>
    <row r="1851" spans="2:11" x14ac:dyDescent="0.2">
      <c r="B1851">
        <v>22</v>
      </c>
      <c r="C1851">
        <v>5669</v>
      </c>
      <c r="D1851" s="308" t="s">
        <v>2423</v>
      </c>
      <c r="E1851" s="291">
        <v>309</v>
      </c>
      <c r="F1851" s="291">
        <v>71</v>
      </c>
      <c r="G1851" s="291">
        <v>494</v>
      </c>
      <c r="H1851" s="287">
        <v>0.22977346278317201</v>
      </c>
      <c r="I1851" s="211">
        <v>0.76923076923076905</v>
      </c>
      <c r="J1851" s="211">
        <v>-0.56067276307306002</v>
      </c>
      <c r="K1851" s="288">
        <v>-173.24788378957601</v>
      </c>
    </row>
    <row r="1852" spans="2:11" x14ac:dyDescent="0.2">
      <c r="B1852">
        <v>22</v>
      </c>
      <c r="C1852">
        <v>5671</v>
      </c>
      <c r="D1852" s="308" t="s">
        <v>2424</v>
      </c>
      <c r="E1852" s="291">
        <v>242</v>
      </c>
      <c r="F1852" s="291">
        <v>78</v>
      </c>
      <c r="G1852" s="291">
        <v>325</v>
      </c>
      <c r="H1852" s="287">
        <v>0.32231404958677701</v>
      </c>
      <c r="I1852" s="211">
        <v>0.984615384615385</v>
      </c>
      <c r="J1852" s="211">
        <v>-0.44070146831020401</v>
      </c>
      <c r="K1852" s="288">
        <v>-106.649755331069</v>
      </c>
    </row>
    <row r="1853" spans="2:11" x14ac:dyDescent="0.2">
      <c r="B1853">
        <v>22</v>
      </c>
      <c r="C1853">
        <v>5673</v>
      </c>
      <c r="D1853" s="308" t="s">
        <v>2425</v>
      </c>
      <c r="E1853" s="291">
        <v>379</v>
      </c>
      <c r="F1853" s="291">
        <v>64</v>
      </c>
      <c r="G1853" s="291">
        <v>478</v>
      </c>
      <c r="H1853" s="287">
        <v>0.16886543535620099</v>
      </c>
      <c r="I1853" s="211">
        <v>0.92677824267782405</v>
      </c>
      <c r="J1853" s="211">
        <v>-0.62772499240380197</v>
      </c>
      <c r="K1853" s="288">
        <v>-237.90777212104101</v>
      </c>
    </row>
    <row r="1854" spans="2:11" x14ac:dyDescent="0.2">
      <c r="B1854">
        <v>22</v>
      </c>
      <c r="C1854">
        <v>5674</v>
      </c>
      <c r="D1854" s="308" t="s">
        <v>2426</v>
      </c>
      <c r="E1854" s="291">
        <v>143</v>
      </c>
      <c r="F1854" s="291">
        <v>34</v>
      </c>
      <c r="G1854" s="291">
        <v>347</v>
      </c>
      <c r="H1854" s="287">
        <v>0.23776223776223801</v>
      </c>
      <c r="I1854" s="211">
        <v>0.51008645533141195</v>
      </c>
      <c r="J1854" s="211">
        <v>-0.56657106473376395</v>
      </c>
      <c r="K1854" s="288">
        <v>-81.0196622569282</v>
      </c>
    </row>
    <row r="1855" spans="2:11" x14ac:dyDescent="0.2">
      <c r="B1855">
        <v>22</v>
      </c>
      <c r="C1855">
        <v>5675</v>
      </c>
      <c r="D1855" s="308" t="s">
        <v>2427</v>
      </c>
      <c r="E1855" s="291">
        <v>4069</v>
      </c>
      <c r="F1855" s="291">
        <v>1344</v>
      </c>
      <c r="G1855" s="291">
        <v>1907</v>
      </c>
      <c r="H1855" s="287">
        <v>0.330302285573851</v>
      </c>
      <c r="I1855" s="211">
        <v>2.83848977451495</v>
      </c>
      <c r="J1855" s="211">
        <v>-0.216936106760523</v>
      </c>
      <c r="K1855" s="288">
        <v>-882.713018408567</v>
      </c>
    </row>
    <row r="1856" spans="2:11" x14ac:dyDescent="0.2">
      <c r="B1856">
        <v>22</v>
      </c>
      <c r="C1856">
        <v>5678</v>
      </c>
      <c r="D1856" s="308" t="s">
        <v>2428</v>
      </c>
      <c r="E1856" s="291">
        <v>6114</v>
      </c>
      <c r="F1856" s="291">
        <v>2714</v>
      </c>
      <c r="G1856" s="291">
        <v>1538</v>
      </c>
      <c r="H1856" s="287">
        <v>0.443899247628394</v>
      </c>
      <c r="I1856" s="211">
        <v>5.7399219765929796</v>
      </c>
      <c r="J1856" s="211">
        <v>0.107826888242154</v>
      </c>
      <c r="K1856" s="288">
        <v>659.25359471253</v>
      </c>
    </row>
    <row r="1857" spans="2:11" x14ac:dyDescent="0.2">
      <c r="B1857">
        <v>22</v>
      </c>
      <c r="C1857">
        <v>5680</v>
      </c>
      <c r="D1857" s="308" t="s">
        <v>2429</v>
      </c>
      <c r="E1857" s="291">
        <v>295</v>
      </c>
      <c r="F1857" s="291">
        <v>73</v>
      </c>
      <c r="G1857" s="291">
        <v>338</v>
      </c>
      <c r="H1857" s="287">
        <v>0.247457627118644</v>
      </c>
      <c r="I1857" s="211">
        <v>1.0887573964496999</v>
      </c>
      <c r="J1857" s="211">
        <v>-0.52763611887861706</v>
      </c>
      <c r="K1857" s="288">
        <v>-155.65265506919201</v>
      </c>
    </row>
    <row r="1858" spans="2:11" x14ac:dyDescent="0.2">
      <c r="B1858">
        <v>22</v>
      </c>
      <c r="C1858">
        <v>5683</v>
      </c>
      <c r="D1858" s="308" t="s">
        <v>2430</v>
      </c>
      <c r="E1858" s="291">
        <v>166</v>
      </c>
      <c r="F1858" s="291">
        <v>37</v>
      </c>
      <c r="G1858" s="291">
        <v>181</v>
      </c>
      <c r="H1858" s="287">
        <v>0.22289156626505999</v>
      </c>
      <c r="I1858" s="211">
        <v>1.1215469613259701</v>
      </c>
      <c r="J1858" s="211">
        <v>-0.561810188358006</v>
      </c>
      <c r="K1858" s="288">
        <v>-93.260491267429103</v>
      </c>
    </row>
    <row r="1859" spans="2:11" x14ac:dyDescent="0.2">
      <c r="B1859">
        <v>22</v>
      </c>
      <c r="C1859">
        <v>5684</v>
      </c>
      <c r="D1859" s="308" t="s">
        <v>2431</v>
      </c>
      <c r="E1859" s="291">
        <v>60</v>
      </c>
      <c r="F1859" s="291">
        <v>14</v>
      </c>
      <c r="G1859" s="291">
        <v>106</v>
      </c>
      <c r="H1859" s="287">
        <v>0.233333333333333</v>
      </c>
      <c r="I1859" s="211">
        <v>0.69811320754716999</v>
      </c>
      <c r="J1859" s="211">
        <v>-0.56837039579523096</v>
      </c>
      <c r="K1859" s="288">
        <v>-34.1022237477139</v>
      </c>
    </row>
    <row r="1860" spans="2:11" x14ac:dyDescent="0.2">
      <c r="B1860">
        <v>22</v>
      </c>
      <c r="C1860">
        <v>5688</v>
      </c>
      <c r="D1860" s="308" t="s">
        <v>2432</v>
      </c>
      <c r="E1860" s="291">
        <v>146</v>
      </c>
      <c r="F1860" s="291">
        <v>27</v>
      </c>
      <c r="G1860" s="291">
        <v>253</v>
      </c>
      <c r="H1860" s="287">
        <v>0.184931506849315</v>
      </c>
      <c r="I1860" s="211">
        <v>0.68379446640316199</v>
      </c>
      <c r="J1860" s="211">
        <v>-0.62558461174096303</v>
      </c>
      <c r="K1860" s="288">
        <v>-91.335353314180594</v>
      </c>
    </row>
    <row r="1861" spans="2:11" x14ac:dyDescent="0.2">
      <c r="B1861">
        <v>22</v>
      </c>
      <c r="C1861">
        <v>5690</v>
      </c>
      <c r="D1861" s="308" t="s">
        <v>2433</v>
      </c>
      <c r="E1861" s="291">
        <v>143</v>
      </c>
      <c r="F1861" s="291">
        <v>27</v>
      </c>
      <c r="G1861" s="291">
        <v>418</v>
      </c>
      <c r="H1861" s="287">
        <v>0.188811188811189</v>
      </c>
      <c r="I1861" s="211">
        <v>0.406698564593301</v>
      </c>
      <c r="J1861" s="211">
        <v>-0.63100157797974699</v>
      </c>
      <c r="K1861" s="288">
        <v>-90.233225651103794</v>
      </c>
    </row>
    <row r="1862" spans="2:11" x14ac:dyDescent="0.2">
      <c r="B1862">
        <v>22</v>
      </c>
      <c r="C1862">
        <v>5692</v>
      </c>
      <c r="D1862" s="308" t="s">
        <v>2434</v>
      </c>
      <c r="E1862" s="291">
        <v>557</v>
      </c>
      <c r="F1862" s="291">
        <v>173</v>
      </c>
      <c r="G1862" s="291">
        <v>324</v>
      </c>
      <c r="H1862" s="287">
        <v>0.31059245960502702</v>
      </c>
      <c r="I1862" s="211">
        <v>2.2530864197530902</v>
      </c>
      <c r="J1862" s="211">
        <v>-0.39691003444919398</v>
      </c>
      <c r="K1862" s="288">
        <v>-221.078889188201</v>
      </c>
    </row>
    <row r="1863" spans="2:11" x14ac:dyDescent="0.2">
      <c r="B1863">
        <v>22</v>
      </c>
      <c r="C1863">
        <v>5693</v>
      </c>
      <c r="D1863" s="308" t="s">
        <v>2435</v>
      </c>
      <c r="E1863" s="291">
        <v>2494</v>
      </c>
      <c r="F1863" s="291">
        <v>638</v>
      </c>
      <c r="G1863" s="291">
        <v>3343</v>
      </c>
      <c r="H1863" s="287">
        <v>0.25581395348837199</v>
      </c>
      <c r="I1863" s="211">
        <v>0.93688303918635996</v>
      </c>
      <c r="J1863" s="211">
        <v>-0.438799802365469</v>
      </c>
      <c r="K1863" s="288">
        <v>-1094.36670709948</v>
      </c>
    </row>
    <row r="1864" spans="2:11" x14ac:dyDescent="0.2">
      <c r="B1864">
        <v>22</v>
      </c>
      <c r="C1864">
        <v>5701</v>
      </c>
      <c r="D1864" s="308" t="s">
        <v>2436</v>
      </c>
      <c r="E1864" s="291">
        <v>223</v>
      </c>
      <c r="F1864" s="291">
        <v>68</v>
      </c>
      <c r="G1864" s="291">
        <v>208</v>
      </c>
      <c r="H1864" s="287">
        <v>0.30493273542600902</v>
      </c>
      <c r="I1864" s="211">
        <v>1.3990384615384599</v>
      </c>
      <c r="J1864" s="211">
        <v>-0.44784543891508599</v>
      </c>
      <c r="K1864" s="288">
        <v>-99.869532878064206</v>
      </c>
    </row>
    <row r="1865" spans="2:11" x14ac:dyDescent="0.2">
      <c r="B1865">
        <v>22</v>
      </c>
      <c r="C1865">
        <v>5702</v>
      </c>
      <c r="D1865" s="308" t="s">
        <v>2437</v>
      </c>
      <c r="E1865" s="291">
        <v>2629</v>
      </c>
      <c r="F1865" s="291">
        <v>375</v>
      </c>
      <c r="G1865" s="291">
        <v>5164</v>
      </c>
      <c r="H1865" s="287">
        <v>0.14263978699125099</v>
      </c>
      <c r="I1865" s="211">
        <v>0.58171959721146405</v>
      </c>
      <c r="J1865" s="211">
        <v>-0.58684110448837901</v>
      </c>
      <c r="K1865" s="288">
        <v>-1542.80526369995</v>
      </c>
    </row>
    <row r="1866" spans="2:11" x14ac:dyDescent="0.2">
      <c r="B1866">
        <v>22</v>
      </c>
      <c r="C1866">
        <v>5703</v>
      </c>
      <c r="D1866" s="308" t="s">
        <v>2438</v>
      </c>
      <c r="E1866" s="291">
        <v>1317</v>
      </c>
      <c r="F1866" s="291">
        <v>206</v>
      </c>
      <c r="G1866" s="291">
        <v>2083</v>
      </c>
      <c r="H1866" s="287">
        <v>0.156416097190585</v>
      </c>
      <c r="I1866" s="211">
        <v>0.73115698511761895</v>
      </c>
      <c r="J1866" s="211">
        <v>-0.61444856512037205</v>
      </c>
      <c r="K1866" s="288">
        <v>-809.22876026353094</v>
      </c>
    </row>
    <row r="1867" spans="2:11" x14ac:dyDescent="0.2">
      <c r="B1867">
        <v>22</v>
      </c>
      <c r="C1867">
        <v>5704</v>
      </c>
      <c r="D1867" s="308" t="s">
        <v>2439</v>
      </c>
      <c r="E1867" s="291">
        <v>1884</v>
      </c>
      <c r="F1867" s="291">
        <v>446</v>
      </c>
      <c r="G1867" s="291">
        <v>479</v>
      </c>
      <c r="H1867" s="287">
        <v>0.23673036093418301</v>
      </c>
      <c r="I1867" s="211">
        <v>4.8643006263048001</v>
      </c>
      <c r="J1867" s="211">
        <v>-0.34246264890207001</v>
      </c>
      <c r="K1867" s="288">
        <v>-645.19963053150002</v>
      </c>
    </row>
    <row r="1868" spans="2:11" x14ac:dyDescent="0.2">
      <c r="B1868">
        <v>22</v>
      </c>
      <c r="C1868">
        <v>5705</v>
      </c>
      <c r="D1868" s="308" t="s">
        <v>2440</v>
      </c>
      <c r="E1868" s="291">
        <v>900</v>
      </c>
      <c r="F1868" s="291">
        <v>105</v>
      </c>
      <c r="G1868" s="291">
        <v>242</v>
      </c>
      <c r="H1868" s="287">
        <v>0.116666666666667</v>
      </c>
      <c r="I1868" s="211">
        <v>4.15289256198347</v>
      </c>
      <c r="J1868" s="211">
        <v>-0.55479526108986899</v>
      </c>
      <c r="K1868" s="288">
        <v>-499.31573498088198</v>
      </c>
    </row>
    <row r="1869" spans="2:11" x14ac:dyDescent="0.2">
      <c r="B1869">
        <v>22</v>
      </c>
      <c r="C1869">
        <v>5706</v>
      </c>
      <c r="D1869" s="308" t="s">
        <v>2441</v>
      </c>
      <c r="E1869" s="291">
        <v>1121</v>
      </c>
      <c r="F1869" s="291">
        <v>114</v>
      </c>
      <c r="G1869" s="291">
        <v>196</v>
      </c>
      <c r="H1869" s="287">
        <v>0.101694915254237</v>
      </c>
      <c r="I1869" s="211">
        <v>6.3010204081632697</v>
      </c>
      <c r="J1869" s="211">
        <v>-0.48652854229763698</v>
      </c>
      <c r="K1869" s="288">
        <v>-545.39849591565098</v>
      </c>
    </row>
    <row r="1870" spans="2:11" x14ac:dyDescent="0.2">
      <c r="B1870">
        <v>22</v>
      </c>
      <c r="C1870">
        <v>5707</v>
      </c>
      <c r="D1870" s="308" t="s">
        <v>2442</v>
      </c>
      <c r="E1870" s="291">
        <v>1305</v>
      </c>
      <c r="F1870" s="291">
        <v>1309</v>
      </c>
      <c r="G1870" s="291">
        <v>270</v>
      </c>
      <c r="H1870" s="287">
        <v>1.0030651340996199</v>
      </c>
      <c r="I1870" s="211">
        <v>9.6814814814814802</v>
      </c>
      <c r="J1870" s="211">
        <v>0.76078447361549095</v>
      </c>
      <c r="K1870" s="288">
        <v>992.82373806821499</v>
      </c>
    </row>
    <row r="1871" spans="2:11" x14ac:dyDescent="0.2">
      <c r="B1871">
        <v>22</v>
      </c>
      <c r="C1871">
        <v>5708</v>
      </c>
      <c r="D1871" s="308" t="s">
        <v>2443</v>
      </c>
      <c r="E1871" s="291">
        <v>938</v>
      </c>
      <c r="F1871" s="291">
        <v>45</v>
      </c>
      <c r="G1871" s="291">
        <v>212</v>
      </c>
      <c r="H1871" s="287">
        <v>4.7974413646055397E-2</v>
      </c>
      <c r="I1871" s="211">
        <v>4.63679245283019</v>
      </c>
      <c r="J1871" s="211">
        <v>-0.62080909205974499</v>
      </c>
      <c r="K1871" s="288">
        <v>-582.31892835204098</v>
      </c>
    </row>
    <row r="1872" spans="2:11" x14ac:dyDescent="0.2">
      <c r="B1872">
        <v>22</v>
      </c>
      <c r="C1872">
        <v>5709</v>
      </c>
      <c r="D1872" s="308" t="s">
        <v>2444</v>
      </c>
      <c r="E1872" s="291">
        <v>1237</v>
      </c>
      <c r="F1872" s="291">
        <v>183</v>
      </c>
      <c r="G1872" s="291">
        <v>1040</v>
      </c>
      <c r="H1872" s="287">
        <v>0.147938561034762</v>
      </c>
      <c r="I1872" s="211">
        <v>1.3653846153846201</v>
      </c>
      <c r="J1872" s="211">
        <v>-0.604870456804944</v>
      </c>
      <c r="K1872" s="288">
        <v>-748.22475506771502</v>
      </c>
    </row>
    <row r="1873" spans="2:11" x14ac:dyDescent="0.2">
      <c r="B1873">
        <v>22</v>
      </c>
      <c r="C1873">
        <v>5710</v>
      </c>
      <c r="D1873" s="308" t="s">
        <v>2445</v>
      </c>
      <c r="E1873" s="291">
        <v>491</v>
      </c>
      <c r="F1873" s="291">
        <v>494</v>
      </c>
      <c r="G1873" s="291">
        <v>293</v>
      </c>
      <c r="H1873" s="287">
        <v>1.0061099796334001</v>
      </c>
      <c r="I1873" s="211">
        <v>3.3617747440272998</v>
      </c>
      <c r="J1873" s="211">
        <v>0.50287923655151701</v>
      </c>
      <c r="K1873" s="288">
        <v>246.913705146795</v>
      </c>
    </row>
    <row r="1874" spans="2:11" x14ac:dyDescent="0.2">
      <c r="B1874">
        <v>22</v>
      </c>
      <c r="C1874">
        <v>5711</v>
      </c>
      <c r="D1874" s="308" t="s">
        <v>2446</v>
      </c>
      <c r="E1874" s="291">
        <v>2824</v>
      </c>
      <c r="F1874" s="291">
        <v>253</v>
      </c>
      <c r="G1874" s="291">
        <v>646</v>
      </c>
      <c r="H1874" s="287">
        <v>8.9589235127478795E-2</v>
      </c>
      <c r="I1874" s="211">
        <v>4.7631578947368398</v>
      </c>
      <c r="J1874" s="211">
        <v>-0.492567968752465</v>
      </c>
      <c r="K1874" s="288">
        <v>-1391.0119437569599</v>
      </c>
    </row>
    <row r="1875" spans="2:11" x14ac:dyDescent="0.2">
      <c r="B1875">
        <v>22</v>
      </c>
      <c r="C1875">
        <v>5712</v>
      </c>
      <c r="D1875" s="308" t="s">
        <v>2447</v>
      </c>
      <c r="E1875" s="291">
        <v>3151</v>
      </c>
      <c r="F1875" s="291">
        <v>863</v>
      </c>
      <c r="G1875" s="291">
        <v>184</v>
      </c>
      <c r="H1875" s="287">
        <v>0.27388130752142198</v>
      </c>
      <c r="I1875" s="211">
        <v>21.815217391304301</v>
      </c>
      <c r="J1875" s="211">
        <v>0.370442533678985</v>
      </c>
      <c r="K1875" s="288">
        <v>1167.2644236224801</v>
      </c>
    </row>
    <row r="1876" spans="2:11" x14ac:dyDescent="0.2">
      <c r="B1876">
        <v>22</v>
      </c>
      <c r="C1876">
        <v>5713</v>
      </c>
      <c r="D1876" s="308" t="s">
        <v>2448</v>
      </c>
      <c r="E1876" s="291">
        <v>2193</v>
      </c>
      <c r="F1876" s="291">
        <v>329</v>
      </c>
      <c r="G1876" s="291">
        <v>429</v>
      </c>
      <c r="H1876" s="287">
        <v>0.150022799817601</v>
      </c>
      <c r="I1876" s="211">
        <v>5.8787878787878798</v>
      </c>
      <c r="J1876" s="211">
        <v>-0.401087049200406</v>
      </c>
      <c r="K1876" s="288">
        <v>-879.58389889649004</v>
      </c>
    </row>
    <row r="1877" spans="2:11" x14ac:dyDescent="0.2">
      <c r="B1877">
        <v>22</v>
      </c>
      <c r="C1877">
        <v>5714</v>
      </c>
      <c r="D1877" s="308" t="s">
        <v>2449</v>
      </c>
      <c r="E1877" s="291">
        <v>1201</v>
      </c>
      <c r="F1877" s="291">
        <v>393</v>
      </c>
      <c r="G1877" s="291">
        <v>202</v>
      </c>
      <c r="H1877" s="287">
        <v>0.32722731057452098</v>
      </c>
      <c r="I1877" s="211">
        <v>7.8910891089108901</v>
      </c>
      <c r="J1877" s="211">
        <v>-0.14598614439987501</v>
      </c>
      <c r="K1877" s="288">
        <v>-175.32935942424999</v>
      </c>
    </row>
    <row r="1878" spans="2:11" x14ac:dyDescent="0.2">
      <c r="B1878">
        <v>22</v>
      </c>
      <c r="C1878">
        <v>5715</v>
      </c>
      <c r="D1878" s="308" t="s">
        <v>2450</v>
      </c>
      <c r="E1878" s="291">
        <v>1070</v>
      </c>
      <c r="F1878" s="291">
        <v>241</v>
      </c>
      <c r="G1878" s="291">
        <v>405</v>
      </c>
      <c r="H1878" s="287">
        <v>0.22523364485981301</v>
      </c>
      <c r="I1878" s="211">
        <v>3.23703703703704</v>
      </c>
      <c r="J1878" s="211">
        <v>-0.44718252019801102</v>
      </c>
      <c r="K1878" s="288">
        <v>-478.48529661187098</v>
      </c>
    </row>
    <row r="1879" spans="2:11" x14ac:dyDescent="0.2">
      <c r="B1879">
        <v>22</v>
      </c>
      <c r="C1879">
        <v>5716</v>
      </c>
      <c r="D1879" s="308" t="s">
        <v>2451</v>
      </c>
      <c r="E1879" s="291">
        <v>1521</v>
      </c>
      <c r="F1879" s="291">
        <v>1177</v>
      </c>
      <c r="G1879" s="291">
        <v>236</v>
      </c>
      <c r="H1879" s="287">
        <v>0.77383300460223503</v>
      </c>
      <c r="I1879" s="211">
        <v>11.4322033898305</v>
      </c>
      <c r="J1879" s="211">
        <v>0.54885692910003703</v>
      </c>
      <c r="K1879" s="288">
        <v>834.81138916115594</v>
      </c>
    </row>
    <row r="1880" spans="2:11" x14ac:dyDescent="0.2">
      <c r="B1880">
        <v>22</v>
      </c>
      <c r="C1880">
        <v>5717</v>
      </c>
      <c r="D1880" s="308" t="s">
        <v>2452</v>
      </c>
      <c r="E1880" s="291">
        <v>3720</v>
      </c>
      <c r="F1880" s="291">
        <v>886</v>
      </c>
      <c r="G1880" s="291">
        <v>478</v>
      </c>
      <c r="H1880" s="287">
        <v>0.23817204301075301</v>
      </c>
      <c r="I1880" s="211">
        <v>9.6359832635983302</v>
      </c>
      <c r="J1880" s="211">
        <v>-9.6427765611939498E-2</v>
      </c>
      <c r="K1880" s="288">
        <v>-358.71128807641497</v>
      </c>
    </row>
    <row r="1881" spans="2:11" x14ac:dyDescent="0.2">
      <c r="B1881">
        <v>22</v>
      </c>
      <c r="C1881">
        <v>5718</v>
      </c>
      <c r="D1881" s="308" t="s">
        <v>2453</v>
      </c>
      <c r="E1881" s="291">
        <v>1930</v>
      </c>
      <c r="F1881" s="291">
        <v>983</v>
      </c>
      <c r="G1881" s="291">
        <v>480</v>
      </c>
      <c r="H1881" s="287">
        <v>0.50932642487046598</v>
      </c>
      <c r="I1881" s="211">
        <v>6.0687499999999996</v>
      </c>
      <c r="J1881" s="211">
        <v>4.1030837918358203E-2</v>
      </c>
      <c r="K1881" s="288">
        <v>79.189517182431302</v>
      </c>
    </row>
    <row r="1882" spans="2:11" x14ac:dyDescent="0.2">
      <c r="B1882">
        <v>22</v>
      </c>
      <c r="C1882">
        <v>5719</v>
      </c>
      <c r="D1882" s="308" t="s">
        <v>2454</v>
      </c>
      <c r="E1882" s="291">
        <v>1210</v>
      </c>
      <c r="F1882" s="291">
        <v>274</v>
      </c>
      <c r="G1882" s="291">
        <v>1248</v>
      </c>
      <c r="H1882" s="287">
        <v>0.226446280991736</v>
      </c>
      <c r="I1882" s="211">
        <v>1.1891025641025601</v>
      </c>
      <c r="J1882" s="211">
        <v>-0.51504984717156099</v>
      </c>
      <c r="K1882" s="288">
        <v>-623.21031507758903</v>
      </c>
    </row>
    <row r="1883" spans="2:11" x14ac:dyDescent="0.2">
      <c r="B1883">
        <v>22</v>
      </c>
      <c r="C1883">
        <v>5720</v>
      </c>
      <c r="D1883" s="308" t="s">
        <v>2455</v>
      </c>
      <c r="E1883" s="291">
        <v>1020</v>
      </c>
      <c r="F1883" s="291">
        <v>174</v>
      </c>
      <c r="G1883" s="291">
        <v>393</v>
      </c>
      <c r="H1883" s="287">
        <v>0.17058823529411801</v>
      </c>
      <c r="I1883" s="211">
        <v>3.0381679389312999</v>
      </c>
      <c r="J1883" s="211">
        <v>-0.52406340581511002</v>
      </c>
      <c r="K1883" s="288">
        <v>-534.54467393141204</v>
      </c>
    </row>
    <row r="1884" spans="2:11" x14ac:dyDescent="0.2">
      <c r="B1884">
        <v>22</v>
      </c>
      <c r="C1884">
        <v>5721</v>
      </c>
      <c r="D1884" s="308" t="s">
        <v>2456</v>
      </c>
      <c r="E1884" s="291">
        <v>12997</v>
      </c>
      <c r="F1884" s="291">
        <v>6223</v>
      </c>
      <c r="G1884" s="291">
        <v>834</v>
      </c>
      <c r="H1884" s="287">
        <v>0.47880280064630298</v>
      </c>
      <c r="I1884" s="211">
        <v>23.0455635491607</v>
      </c>
      <c r="J1884" s="211">
        <v>1.04547376912419</v>
      </c>
      <c r="K1884" s="288">
        <v>13588.0225773071</v>
      </c>
    </row>
    <row r="1885" spans="2:11" x14ac:dyDescent="0.2">
      <c r="B1885">
        <v>22</v>
      </c>
      <c r="C1885">
        <v>5722</v>
      </c>
      <c r="D1885" s="308" t="s">
        <v>2457</v>
      </c>
      <c r="E1885" s="291">
        <v>380</v>
      </c>
      <c r="F1885" s="291">
        <v>135</v>
      </c>
      <c r="G1885" s="291">
        <v>255</v>
      </c>
      <c r="H1885" s="287">
        <v>0.355263157894737</v>
      </c>
      <c r="I1885" s="211">
        <v>2.0196078431372499</v>
      </c>
      <c r="J1885" s="211">
        <v>-0.35683729631980698</v>
      </c>
      <c r="K1885" s="288">
        <v>-135.59817260152701</v>
      </c>
    </row>
    <row r="1886" spans="2:11" x14ac:dyDescent="0.2">
      <c r="B1886">
        <v>22</v>
      </c>
      <c r="C1886">
        <v>5723</v>
      </c>
      <c r="D1886" s="308" t="s">
        <v>2458</v>
      </c>
      <c r="E1886" s="291">
        <v>1989</v>
      </c>
      <c r="F1886" s="291">
        <v>825</v>
      </c>
      <c r="G1886" s="291">
        <v>348</v>
      </c>
      <c r="H1886" s="287">
        <v>0.414781297134238</v>
      </c>
      <c r="I1886" s="211">
        <v>8.0862068965517206</v>
      </c>
      <c r="J1886" s="211">
        <v>-2.64408814955728E-4</v>
      </c>
      <c r="K1886" s="288">
        <v>-0.52590913294694297</v>
      </c>
    </row>
    <row r="1887" spans="2:11" x14ac:dyDescent="0.2">
      <c r="B1887">
        <v>22</v>
      </c>
      <c r="C1887">
        <v>5724</v>
      </c>
      <c r="D1887" s="308" t="s">
        <v>2459</v>
      </c>
      <c r="E1887" s="291">
        <v>20272</v>
      </c>
      <c r="F1887" s="291">
        <v>15932</v>
      </c>
      <c r="G1887" s="291">
        <v>687</v>
      </c>
      <c r="H1887" s="287">
        <v>0.78591160220994505</v>
      </c>
      <c r="I1887" s="211">
        <v>52.698689956331897</v>
      </c>
      <c r="J1887" s="211">
        <v>2.78590625572317</v>
      </c>
      <c r="K1887" s="288">
        <v>56475.891616020097</v>
      </c>
    </row>
    <row r="1888" spans="2:11" x14ac:dyDescent="0.2">
      <c r="B1888">
        <v>22</v>
      </c>
      <c r="C1888">
        <v>5725</v>
      </c>
      <c r="D1888" s="308" t="s">
        <v>2460</v>
      </c>
      <c r="E1888" s="291">
        <v>4062</v>
      </c>
      <c r="F1888" s="291">
        <v>1980</v>
      </c>
      <c r="G1888" s="291">
        <v>601</v>
      </c>
      <c r="H1888" s="287">
        <v>0.487444608567208</v>
      </c>
      <c r="I1888" s="211">
        <v>10.0532445923461</v>
      </c>
      <c r="J1888" s="211">
        <v>0.24075336440693401</v>
      </c>
      <c r="K1888" s="288">
        <v>977.94016622096501</v>
      </c>
    </row>
    <row r="1889" spans="2:11" x14ac:dyDescent="0.2">
      <c r="B1889">
        <v>22</v>
      </c>
      <c r="C1889">
        <v>5726</v>
      </c>
      <c r="D1889" s="308" t="s">
        <v>2461</v>
      </c>
      <c r="E1889" s="291">
        <v>1158</v>
      </c>
      <c r="F1889" s="291">
        <v>172</v>
      </c>
      <c r="G1889" s="291">
        <v>1645</v>
      </c>
      <c r="H1889" s="287">
        <v>0.14853195164076</v>
      </c>
      <c r="I1889" s="211">
        <v>0.80851063829787195</v>
      </c>
      <c r="J1889" s="211">
        <v>-0.62747135743136695</v>
      </c>
      <c r="K1889" s="288">
        <v>-726.61183190552299</v>
      </c>
    </row>
    <row r="1890" spans="2:11" x14ac:dyDescent="0.2">
      <c r="B1890">
        <v>22</v>
      </c>
      <c r="C1890">
        <v>5727</v>
      </c>
      <c r="D1890" s="308" t="s">
        <v>2462</v>
      </c>
      <c r="E1890" s="291">
        <v>2497</v>
      </c>
      <c r="F1890" s="291">
        <v>308</v>
      </c>
      <c r="G1890" s="291">
        <v>2412</v>
      </c>
      <c r="H1890" s="287">
        <v>0.123348017621145</v>
      </c>
      <c r="I1890" s="211">
        <v>1.1629353233830799</v>
      </c>
      <c r="J1890" s="211">
        <v>-0.59458464884365703</v>
      </c>
      <c r="K1890" s="288">
        <v>-1484.6778681626099</v>
      </c>
    </row>
    <row r="1891" spans="2:11" x14ac:dyDescent="0.2">
      <c r="B1891">
        <v>22</v>
      </c>
      <c r="C1891">
        <v>5728</v>
      </c>
      <c r="D1891" s="308" t="s">
        <v>2463</v>
      </c>
      <c r="E1891" s="291">
        <v>542</v>
      </c>
      <c r="F1891" s="291">
        <v>686</v>
      </c>
      <c r="G1891" s="291">
        <v>193</v>
      </c>
      <c r="H1891" s="287">
        <v>1.26568265682657</v>
      </c>
      <c r="I1891" s="211">
        <v>6.3626943005181396</v>
      </c>
      <c r="J1891" s="211">
        <v>0.93597023865801399</v>
      </c>
      <c r="K1891" s="288">
        <v>507.29586935264399</v>
      </c>
    </row>
    <row r="1892" spans="2:11" x14ac:dyDescent="0.2">
      <c r="B1892">
        <v>22</v>
      </c>
      <c r="C1892">
        <v>5729</v>
      </c>
      <c r="D1892" s="308" t="s">
        <v>2464</v>
      </c>
      <c r="E1892" s="291">
        <v>1553</v>
      </c>
      <c r="F1892" s="291">
        <v>171</v>
      </c>
      <c r="G1892" s="291">
        <v>178</v>
      </c>
      <c r="H1892" s="287">
        <v>0.110109465550547</v>
      </c>
      <c r="I1892" s="211">
        <v>9.68539325842697</v>
      </c>
      <c r="J1892" s="211">
        <v>-0.33611550707412602</v>
      </c>
      <c r="K1892" s="288">
        <v>-521.98738248611699</v>
      </c>
    </row>
    <row r="1893" spans="2:11" x14ac:dyDescent="0.2">
      <c r="B1893">
        <v>22</v>
      </c>
      <c r="C1893">
        <v>5730</v>
      </c>
      <c r="D1893" s="308" t="s">
        <v>2465</v>
      </c>
      <c r="E1893" s="291">
        <v>1446</v>
      </c>
      <c r="F1893" s="291">
        <v>206</v>
      </c>
      <c r="G1893" s="291">
        <v>584</v>
      </c>
      <c r="H1893" s="287">
        <v>0.14246196403872799</v>
      </c>
      <c r="I1893" s="211">
        <v>2.8287671232876699</v>
      </c>
      <c r="J1893" s="211">
        <v>-0.55027927036091595</v>
      </c>
      <c r="K1893" s="288">
        <v>-795.70382494188505</v>
      </c>
    </row>
    <row r="1894" spans="2:11" x14ac:dyDescent="0.2">
      <c r="B1894">
        <v>22</v>
      </c>
      <c r="C1894">
        <v>5731</v>
      </c>
      <c r="D1894" s="308" t="s">
        <v>2466</v>
      </c>
      <c r="E1894" s="291">
        <v>1265</v>
      </c>
      <c r="F1894" s="291">
        <v>199</v>
      </c>
      <c r="G1894" s="291">
        <v>313</v>
      </c>
      <c r="H1894" s="287">
        <v>0.157312252964427</v>
      </c>
      <c r="I1894" s="211">
        <v>4.6773162939297102</v>
      </c>
      <c r="J1894" s="211">
        <v>-0.47134854429392098</v>
      </c>
      <c r="K1894" s="288">
        <v>-596.25590853181097</v>
      </c>
    </row>
    <row r="1895" spans="2:11" x14ac:dyDescent="0.2">
      <c r="B1895">
        <v>22</v>
      </c>
      <c r="C1895">
        <v>5732</v>
      </c>
      <c r="D1895" s="308" t="s">
        <v>2467</v>
      </c>
      <c r="E1895" s="291">
        <v>980</v>
      </c>
      <c r="F1895" s="291">
        <v>664</v>
      </c>
      <c r="G1895" s="291">
        <v>152</v>
      </c>
      <c r="H1895" s="287">
        <v>0.67755102040816295</v>
      </c>
      <c r="I1895" s="211">
        <v>10.8157894736842</v>
      </c>
      <c r="J1895" s="211">
        <v>0.38638643534265099</v>
      </c>
      <c r="K1895" s="288">
        <v>378.65870663579801</v>
      </c>
    </row>
    <row r="1896" spans="2:11" x14ac:dyDescent="0.2">
      <c r="B1896">
        <v>22</v>
      </c>
      <c r="C1896">
        <v>5741</v>
      </c>
      <c r="D1896" s="308" t="s">
        <v>2468</v>
      </c>
      <c r="E1896" s="291">
        <v>240</v>
      </c>
      <c r="F1896" s="291">
        <v>42</v>
      </c>
      <c r="G1896" s="291">
        <v>581</v>
      </c>
      <c r="H1896" s="287">
        <v>0.17499999999999999</v>
      </c>
      <c r="I1896" s="211">
        <v>0.48537005163511199</v>
      </c>
      <c r="J1896" s="211">
        <v>-0.641539244179687</v>
      </c>
      <c r="K1896" s="288">
        <v>-153.96941860312501</v>
      </c>
    </row>
    <row r="1897" spans="2:11" x14ac:dyDescent="0.2">
      <c r="B1897">
        <v>22</v>
      </c>
      <c r="C1897">
        <v>5742</v>
      </c>
      <c r="D1897" s="308" t="s">
        <v>2469</v>
      </c>
      <c r="E1897" s="291">
        <v>291</v>
      </c>
      <c r="F1897" s="291">
        <v>59</v>
      </c>
      <c r="G1897" s="291">
        <v>542</v>
      </c>
      <c r="H1897" s="287">
        <v>0.20274914089347101</v>
      </c>
      <c r="I1897" s="211">
        <v>0.645756457564576</v>
      </c>
      <c r="J1897" s="211">
        <v>-0.59935308986487201</v>
      </c>
      <c r="K1897" s="288">
        <v>-174.41174915067799</v>
      </c>
    </row>
    <row r="1898" spans="2:11" x14ac:dyDescent="0.2">
      <c r="B1898">
        <v>22</v>
      </c>
      <c r="C1898">
        <v>5743</v>
      </c>
      <c r="D1898" s="308" t="s">
        <v>2470</v>
      </c>
      <c r="E1898" s="291">
        <v>630</v>
      </c>
      <c r="F1898" s="291">
        <v>184</v>
      </c>
      <c r="G1898" s="291">
        <v>754</v>
      </c>
      <c r="H1898" s="287">
        <v>0.29206349206349203</v>
      </c>
      <c r="I1898" s="211">
        <v>1.07957559681698</v>
      </c>
      <c r="J1898" s="211">
        <v>-0.45989695775800898</v>
      </c>
      <c r="K1898" s="288">
        <v>-289.73508338754601</v>
      </c>
    </row>
    <row r="1899" spans="2:11" x14ac:dyDescent="0.2">
      <c r="B1899">
        <v>22</v>
      </c>
      <c r="C1899">
        <v>5744</v>
      </c>
      <c r="D1899" s="308" t="s">
        <v>2471</v>
      </c>
      <c r="E1899" s="291">
        <v>1114</v>
      </c>
      <c r="F1899" s="291">
        <v>1098</v>
      </c>
      <c r="G1899" s="291">
        <v>901</v>
      </c>
      <c r="H1899" s="287">
        <v>0.98563734290843796</v>
      </c>
      <c r="I1899" s="211">
        <v>2.4550499445060998</v>
      </c>
      <c r="J1899" s="211">
        <v>0.468232738904511</v>
      </c>
      <c r="K1899" s="288">
        <v>521.61127113962596</v>
      </c>
    </row>
    <row r="1900" spans="2:11" x14ac:dyDescent="0.2">
      <c r="B1900">
        <v>22</v>
      </c>
      <c r="C1900">
        <v>5745</v>
      </c>
      <c r="D1900" s="308" t="s">
        <v>2472</v>
      </c>
      <c r="E1900" s="291">
        <v>1057</v>
      </c>
      <c r="F1900" s="291">
        <v>362</v>
      </c>
      <c r="G1900" s="291">
        <v>2236</v>
      </c>
      <c r="H1900" s="287">
        <v>0.34247871333963997</v>
      </c>
      <c r="I1900" s="211">
        <v>0.63461538461538503</v>
      </c>
      <c r="J1900" s="211">
        <v>-0.39734324382182301</v>
      </c>
      <c r="K1900" s="288">
        <v>-419.99180871966701</v>
      </c>
    </row>
    <row r="1901" spans="2:11" x14ac:dyDescent="0.2">
      <c r="B1901">
        <v>22</v>
      </c>
      <c r="C1901">
        <v>5746</v>
      </c>
      <c r="D1901" s="308" t="s">
        <v>2473</v>
      </c>
      <c r="E1901" s="291">
        <v>940</v>
      </c>
      <c r="F1901" s="291">
        <v>207</v>
      </c>
      <c r="G1901" s="291">
        <v>916</v>
      </c>
      <c r="H1901" s="287">
        <v>0.22021276595744699</v>
      </c>
      <c r="I1901" s="211">
        <v>1.25218340611354</v>
      </c>
      <c r="J1901" s="211">
        <v>-0.53078923487250296</v>
      </c>
      <c r="K1901" s="288">
        <v>-498.94188078015202</v>
      </c>
    </row>
    <row r="1902" spans="2:11" x14ac:dyDescent="0.2">
      <c r="B1902">
        <v>22</v>
      </c>
      <c r="C1902">
        <v>5747</v>
      </c>
      <c r="D1902" s="308" t="s">
        <v>2474</v>
      </c>
      <c r="E1902" s="291">
        <v>188</v>
      </c>
      <c r="F1902" s="291">
        <v>63</v>
      </c>
      <c r="G1902" s="291">
        <v>417</v>
      </c>
      <c r="H1902" s="287">
        <v>0.33510638297872303</v>
      </c>
      <c r="I1902" s="211">
        <v>0.601918465227818</v>
      </c>
      <c r="J1902" s="211">
        <v>-0.44087575408426399</v>
      </c>
      <c r="K1902" s="288">
        <v>-82.8846417678417</v>
      </c>
    </row>
    <row r="1903" spans="2:11" x14ac:dyDescent="0.2">
      <c r="B1903">
        <v>22</v>
      </c>
      <c r="C1903">
        <v>5748</v>
      </c>
      <c r="D1903" s="308" t="s">
        <v>2475</v>
      </c>
      <c r="E1903" s="291">
        <v>258</v>
      </c>
      <c r="F1903" s="291">
        <v>48</v>
      </c>
      <c r="G1903" s="291">
        <v>549</v>
      </c>
      <c r="H1903" s="287">
        <v>0.186046511627907</v>
      </c>
      <c r="I1903" s="211">
        <v>0.55737704918032804</v>
      </c>
      <c r="J1903" s="211">
        <v>-0.62453584252139205</v>
      </c>
      <c r="K1903" s="288">
        <v>-161.13024737051899</v>
      </c>
    </row>
    <row r="1904" spans="2:11" x14ac:dyDescent="0.2">
      <c r="B1904">
        <v>22</v>
      </c>
      <c r="C1904">
        <v>5749</v>
      </c>
      <c r="D1904" s="308" t="s">
        <v>2476</v>
      </c>
      <c r="E1904" s="291">
        <v>4833</v>
      </c>
      <c r="F1904" s="291">
        <v>1780</v>
      </c>
      <c r="G1904" s="291">
        <v>1880</v>
      </c>
      <c r="H1904" s="287">
        <v>0.368301262156011</v>
      </c>
      <c r="I1904" s="211">
        <v>3.5175531914893599</v>
      </c>
      <c r="J1904" s="211">
        <v>-0.115881334986941</v>
      </c>
      <c r="K1904" s="288">
        <v>-560.05449199188695</v>
      </c>
    </row>
    <row r="1905" spans="2:11" x14ac:dyDescent="0.2">
      <c r="B1905">
        <v>22</v>
      </c>
      <c r="C1905">
        <v>5750</v>
      </c>
      <c r="D1905" s="308" t="s">
        <v>2477</v>
      </c>
      <c r="E1905" s="291">
        <v>176</v>
      </c>
      <c r="F1905" s="291">
        <v>31</v>
      </c>
      <c r="G1905" s="291">
        <v>699</v>
      </c>
      <c r="H1905" s="287">
        <v>0.17613636363636401</v>
      </c>
      <c r="I1905" s="211">
        <v>0.29613733905579398</v>
      </c>
      <c r="J1905" s="211">
        <v>-0.64948070335447405</v>
      </c>
      <c r="K1905" s="288">
        <v>-114.30860379038801</v>
      </c>
    </row>
    <row r="1906" spans="2:11" x14ac:dyDescent="0.2">
      <c r="B1906">
        <v>22</v>
      </c>
      <c r="C1906">
        <v>5752</v>
      </c>
      <c r="D1906" s="308" t="s">
        <v>2478</v>
      </c>
      <c r="E1906" s="291">
        <v>351</v>
      </c>
      <c r="F1906" s="291">
        <v>92</v>
      </c>
      <c r="G1906" s="291">
        <v>449</v>
      </c>
      <c r="H1906" s="287">
        <v>0.26210826210826199</v>
      </c>
      <c r="I1906" s="211">
        <v>0.98663697104677095</v>
      </c>
      <c r="J1906" s="211">
        <v>-0.51106773154572605</v>
      </c>
      <c r="K1906" s="288">
        <v>-179.38477377255001</v>
      </c>
    </row>
    <row r="1907" spans="2:11" x14ac:dyDescent="0.2">
      <c r="B1907">
        <v>22</v>
      </c>
      <c r="C1907">
        <v>5754</v>
      </c>
      <c r="D1907" s="308" t="s">
        <v>2479</v>
      </c>
      <c r="E1907" s="291">
        <v>303</v>
      </c>
      <c r="F1907" s="291">
        <v>63</v>
      </c>
      <c r="G1907" s="291">
        <v>932</v>
      </c>
      <c r="H1907" s="287">
        <v>0.20792079207920799</v>
      </c>
      <c r="I1907" s="211">
        <v>0.39270386266094398</v>
      </c>
      <c r="J1907" s="211">
        <v>-0.60171872714944696</v>
      </c>
      <c r="K1907" s="288">
        <v>-182.32077432628299</v>
      </c>
    </row>
    <row r="1908" spans="2:11" x14ac:dyDescent="0.2">
      <c r="B1908">
        <v>22</v>
      </c>
      <c r="C1908">
        <v>5755</v>
      </c>
      <c r="D1908" s="308" t="s">
        <v>2480</v>
      </c>
      <c r="E1908" s="291">
        <v>405</v>
      </c>
      <c r="F1908" s="291">
        <v>96</v>
      </c>
      <c r="G1908" s="291">
        <v>1061</v>
      </c>
      <c r="H1908" s="287">
        <v>0.23703703703703699</v>
      </c>
      <c r="I1908" s="211">
        <v>0.47219604147031102</v>
      </c>
      <c r="J1908" s="211">
        <v>-0.55884126596006001</v>
      </c>
      <c r="K1908" s="288">
        <v>-226.330712713824</v>
      </c>
    </row>
    <row r="1909" spans="2:11" x14ac:dyDescent="0.2">
      <c r="B1909">
        <v>22</v>
      </c>
      <c r="C1909">
        <v>5756</v>
      </c>
      <c r="D1909" s="308" t="s">
        <v>2481</v>
      </c>
      <c r="E1909" s="291">
        <v>471</v>
      </c>
      <c r="F1909" s="291">
        <v>91</v>
      </c>
      <c r="G1909" s="291">
        <v>300</v>
      </c>
      <c r="H1909" s="287">
        <v>0.193205944798301</v>
      </c>
      <c r="I1909" s="211">
        <v>1.87333333333333</v>
      </c>
      <c r="J1909" s="211">
        <v>-0.55951257854480396</v>
      </c>
      <c r="K1909" s="288">
        <v>-263.53042449460298</v>
      </c>
    </row>
    <row r="1910" spans="2:11" x14ac:dyDescent="0.2">
      <c r="B1910">
        <v>22</v>
      </c>
      <c r="C1910">
        <v>5757</v>
      </c>
      <c r="D1910" s="308" t="s">
        <v>2482</v>
      </c>
      <c r="E1910" s="291">
        <v>6903</v>
      </c>
      <c r="F1910" s="291">
        <v>4626</v>
      </c>
      <c r="G1910" s="291">
        <v>1165</v>
      </c>
      <c r="H1910" s="287">
        <v>0.67014341590612803</v>
      </c>
      <c r="I1910" s="211">
        <v>9.8961373390557892</v>
      </c>
      <c r="J1910" s="211">
        <v>0.56996818912205305</v>
      </c>
      <c r="K1910" s="288">
        <v>3934.4904095095299</v>
      </c>
    </row>
    <row r="1911" spans="2:11" x14ac:dyDescent="0.2">
      <c r="B1911">
        <v>22</v>
      </c>
      <c r="C1911">
        <v>5758</v>
      </c>
      <c r="D1911" s="308" t="s">
        <v>2483</v>
      </c>
      <c r="E1911" s="291">
        <v>159</v>
      </c>
      <c r="F1911" s="291">
        <v>26</v>
      </c>
      <c r="G1911" s="291">
        <v>511</v>
      </c>
      <c r="H1911" s="287">
        <v>0.16352201257861601</v>
      </c>
      <c r="I1911" s="211">
        <v>0.36203522504892399</v>
      </c>
      <c r="J1911" s="211">
        <v>-0.66335721808697701</v>
      </c>
      <c r="K1911" s="288">
        <v>-105.473797675829</v>
      </c>
    </row>
    <row r="1912" spans="2:11" x14ac:dyDescent="0.2">
      <c r="B1912">
        <v>22</v>
      </c>
      <c r="C1912">
        <v>5759</v>
      </c>
      <c r="D1912" s="308" t="s">
        <v>2484</v>
      </c>
      <c r="E1912" s="291">
        <v>196</v>
      </c>
      <c r="F1912" s="291">
        <v>32</v>
      </c>
      <c r="G1912" s="291">
        <v>604</v>
      </c>
      <c r="H1912" s="287">
        <v>0.16326530612244899</v>
      </c>
      <c r="I1912" s="211">
        <v>0.37748344370860898</v>
      </c>
      <c r="J1912" s="211">
        <v>-0.66169793773671504</v>
      </c>
      <c r="K1912" s="288">
        <v>-129.69279579639601</v>
      </c>
    </row>
    <row r="1913" spans="2:11" x14ac:dyDescent="0.2">
      <c r="B1913">
        <v>22</v>
      </c>
      <c r="C1913">
        <v>5760</v>
      </c>
      <c r="D1913" s="308" t="s">
        <v>2485</v>
      </c>
      <c r="E1913" s="291">
        <v>472</v>
      </c>
      <c r="F1913" s="291">
        <v>91</v>
      </c>
      <c r="G1913" s="291">
        <v>983</v>
      </c>
      <c r="H1913" s="287">
        <v>0.19279661016949201</v>
      </c>
      <c r="I1913" s="211">
        <v>0.57273652085452698</v>
      </c>
      <c r="J1913" s="211">
        <v>-0.60743414246917804</v>
      </c>
      <c r="K1913" s="288">
        <v>-286.70891524545198</v>
      </c>
    </row>
    <row r="1914" spans="2:11" x14ac:dyDescent="0.2">
      <c r="B1914">
        <v>22</v>
      </c>
      <c r="C1914">
        <v>5761</v>
      </c>
      <c r="D1914" s="308" t="s">
        <v>2486</v>
      </c>
      <c r="E1914" s="291">
        <v>547</v>
      </c>
      <c r="F1914" s="291">
        <v>143</v>
      </c>
      <c r="G1914" s="291">
        <v>699</v>
      </c>
      <c r="H1914" s="287">
        <v>0.261425959780622</v>
      </c>
      <c r="I1914" s="211">
        <v>0.98712446351931304</v>
      </c>
      <c r="J1914" s="211">
        <v>-0.50440637384422204</v>
      </c>
      <c r="K1914" s="288">
        <v>-275.910286492789</v>
      </c>
    </row>
    <row r="1915" spans="2:11" x14ac:dyDescent="0.2">
      <c r="B1915">
        <v>22</v>
      </c>
      <c r="C1915">
        <v>5762</v>
      </c>
      <c r="D1915" s="308" t="s">
        <v>2487</v>
      </c>
      <c r="E1915" s="291">
        <v>141</v>
      </c>
      <c r="F1915" s="291">
        <v>32</v>
      </c>
      <c r="G1915" s="291">
        <v>147</v>
      </c>
      <c r="H1915" s="287">
        <v>0.22695035460992899</v>
      </c>
      <c r="I1915" s="211">
        <v>1.1768707482993199</v>
      </c>
      <c r="J1915" s="211">
        <v>-0.55571742041210903</v>
      </c>
      <c r="K1915" s="288">
        <v>-78.356156278107306</v>
      </c>
    </row>
    <row r="1916" spans="2:11" x14ac:dyDescent="0.2">
      <c r="B1916">
        <v>22</v>
      </c>
      <c r="C1916">
        <v>5763</v>
      </c>
      <c r="D1916" s="308" t="s">
        <v>2488</v>
      </c>
      <c r="E1916" s="291">
        <v>625</v>
      </c>
      <c r="F1916" s="291">
        <v>171</v>
      </c>
      <c r="G1916" s="291">
        <v>636</v>
      </c>
      <c r="H1916" s="287">
        <v>0.27360000000000001</v>
      </c>
      <c r="I1916" s="211">
        <v>1.25157232704403</v>
      </c>
      <c r="J1916" s="211">
        <v>-0.47669196667054298</v>
      </c>
      <c r="K1916" s="288">
        <v>-297.93247916908899</v>
      </c>
    </row>
    <row r="1917" spans="2:11" x14ac:dyDescent="0.2">
      <c r="B1917">
        <v>22</v>
      </c>
      <c r="C1917">
        <v>5764</v>
      </c>
      <c r="D1917" s="308" t="s">
        <v>2489</v>
      </c>
      <c r="E1917" s="291">
        <v>3750</v>
      </c>
      <c r="F1917" s="291">
        <v>1502</v>
      </c>
      <c r="G1917" s="291">
        <v>2279</v>
      </c>
      <c r="H1917" s="287">
        <v>0.40053333333333302</v>
      </c>
      <c r="I1917" s="211">
        <v>2.3045195261079399</v>
      </c>
      <c r="J1917" s="211">
        <v>-0.16157914467927301</v>
      </c>
      <c r="K1917" s="288">
        <v>-605.92179254727603</v>
      </c>
    </row>
    <row r="1918" spans="2:11" x14ac:dyDescent="0.2">
      <c r="B1918">
        <v>22</v>
      </c>
      <c r="C1918">
        <v>5765</v>
      </c>
      <c r="D1918" s="308" t="s">
        <v>2490</v>
      </c>
      <c r="E1918" s="291">
        <v>492</v>
      </c>
      <c r="F1918" s="291">
        <v>160</v>
      </c>
      <c r="G1918" s="291">
        <v>1314</v>
      </c>
      <c r="H1918" s="287">
        <v>0.32520325203251998</v>
      </c>
      <c r="I1918" s="211">
        <v>0.496194824961948</v>
      </c>
      <c r="J1918" s="211">
        <v>-0.44538902881654602</v>
      </c>
      <c r="K1918" s="288">
        <v>-219.13140217774099</v>
      </c>
    </row>
    <row r="1919" spans="2:11" x14ac:dyDescent="0.2">
      <c r="B1919">
        <v>22</v>
      </c>
      <c r="C1919">
        <v>5766</v>
      </c>
      <c r="D1919" s="308" t="s">
        <v>2491</v>
      </c>
      <c r="E1919" s="291">
        <v>562</v>
      </c>
      <c r="F1919" s="291">
        <v>181</v>
      </c>
      <c r="G1919" s="291">
        <v>509</v>
      </c>
      <c r="H1919" s="287">
        <v>0.32206405693950202</v>
      </c>
      <c r="I1919" s="211">
        <v>1.4597249508840899</v>
      </c>
      <c r="J1919" s="211">
        <v>-0.41144975033937398</v>
      </c>
      <c r="K1919" s="288">
        <v>-231.234759690728</v>
      </c>
    </row>
    <row r="1920" spans="2:11" x14ac:dyDescent="0.2">
      <c r="B1920">
        <v>22</v>
      </c>
      <c r="C1920">
        <v>5785</v>
      </c>
      <c r="D1920" s="308" t="s">
        <v>2492</v>
      </c>
      <c r="E1920" s="291">
        <v>427</v>
      </c>
      <c r="F1920" s="291">
        <v>71</v>
      </c>
      <c r="G1920" s="291">
        <v>793</v>
      </c>
      <c r="H1920" s="287">
        <v>0.166276346604215</v>
      </c>
      <c r="I1920" s="211">
        <v>0.62799495586380805</v>
      </c>
      <c r="J1920" s="211">
        <v>-0.64000041313036005</v>
      </c>
      <c r="K1920" s="288">
        <v>-273.280176406664</v>
      </c>
    </row>
    <row r="1921" spans="2:11" x14ac:dyDescent="0.2">
      <c r="B1921">
        <v>22</v>
      </c>
      <c r="C1921">
        <v>5788</v>
      </c>
      <c r="D1921" s="308" t="s">
        <v>2493</v>
      </c>
      <c r="E1921" s="291">
        <v>335</v>
      </c>
      <c r="F1921" s="291">
        <v>60</v>
      </c>
      <c r="G1921" s="291">
        <v>166</v>
      </c>
      <c r="H1921" s="287">
        <v>0.17910447761194001</v>
      </c>
      <c r="I1921" s="211">
        <v>2.37951807228916</v>
      </c>
      <c r="J1921" s="211">
        <v>-0.563714845297422</v>
      </c>
      <c r="K1921" s="288">
        <v>-188.84447317463599</v>
      </c>
    </row>
    <row r="1922" spans="2:11" x14ac:dyDescent="0.2">
      <c r="B1922">
        <v>22</v>
      </c>
      <c r="C1922">
        <v>5790</v>
      </c>
      <c r="D1922" s="308" t="s">
        <v>2494</v>
      </c>
      <c r="E1922" s="291">
        <v>449</v>
      </c>
      <c r="F1922" s="291">
        <v>70</v>
      </c>
      <c r="G1922" s="291">
        <v>427</v>
      </c>
      <c r="H1922" s="287">
        <v>0.15590200445434299</v>
      </c>
      <c r="I1922" s="211">
        <v>1.2154566744730699</v>
      </c>
      <c r="J1922" s="211">
        <v>-0.63058165675890898</v>
      </c>
      <c r="K1922" s="288">
        <v>-283.13116388474998</v>
      </c>
    </row>
    <row r="1923" spans="2:11" x14ac:dyDescent="0.2">
      <c r="B1923">
        <v>22</v>
      </c>
      <c r="C1923">
        <v>5792</v>
      </c>
      <c r="D1923" s="308" t="s">
        <v>2495</v>
      </c>
      <c r="E1923" s="291">
        <v>621</v>
      </c>
      <c r="F1923" s="291">
        <v>129</v>
      </c>
      <c r="G1923" s="291">
        <v>415</v>
      </c>
      <c r="H1923" s="287">
        <v>0.20772946859903399</v>
      </c>
      <c r="I1923" s="211">
        <v>1.80722891566265</v>
      </c>
      <c r="J1923" s="211">
        <v>-0.53819596130182201</v>
      </c>
      <c r="K1923" s="288">
        <v>-334.21969196843099</v>
      </c>
    </row>
    <row r="1924" spans="2:11" x14ac:dyDescent="0.2">
      <c r="B1924">
        <v>22</v>
      </c>
      <c r="C1924">
        <v>5798</v>
      </c>
      <c r="D1924" s="308" t="s">
        <v>2496</v>
      </c>
      <c r="E1924" s="291">
        <v>439</v>
      </c>
      <c r="F1924" s="291">
        <v>101</v>
      </c>
      <c r="G1924" s="291">
        <v>477</v>
      </c>
      <c r="H1924" s="287">
        <v>0.23006833712984101</v>
      </c>
      <c r="I1924" s="211">
        <v>1.1320754716981101</v>
      </c>
      <c r="J1924" s="211">
        <v>-0.54210167116971497</v>
      </c>
      <c r="K1924" s="288">
        <v>-237.98263364350501</v>
      </c>
    </row>
    <row r="1925" spans="2:11" x14ac:dyDescent="0.2">
      <c r="B1925">
        <v>22</v>
      </c>
      <c r="C1925">
        <v>5799</v>
      </c>
      <c r="D1925" s="308" t="s">
        <v>2497</v>
      </c>
      <c r="E1925" s="291">
        <v>1919</v>
      </c>
      <c r="F1925" s="291">
        <v>502</v>
      </c>
      <c r="G1925" s="291">
        <v>626</v>
      </c>
      <c r="H1925" s="287">
        <v>0.26159458051068302</v>
      </c>
      <c r="I1925" s="211">
        <v>3.8674121405750799</v>
      </c>
      <c r="J1925" s="211">
        <v>-0.34668614818304699</v>
      </c>
      <c r="K1925" s="288">
        <v>-665.29071836326705</v>
      </c>
    </row>
    <row r="1926" spans="2:11" x14ac:dyDescent="0.2">
      <c r="B1926">
        <v>22</v>
      </c>
      <c r="C1926">
        <v>5803</v>
      </c>
      <c r="D1926" s="308" t="s">
        <v>2498</v>
      </c>
      <c r="E1926" s="291">
        <v>466</v>
      </c>
      <c r="F1926" s="291">
        <v>95</v>
      </c>
      <c r="G1926" s="291">
        <v>659</v>
      </c>
      <c r="H1926" s="287">
        <v>0.20386266094420599</v>
      </c>
      <c r="I1926" s="211">
        <v>0.85128983308042505</v>
      </c>
      <c r="J1926" s="211">
        <v>-0.58378767135128695</v>
      </c>
      <c r="K1926" s="288">
        <v>-272.04505484970002</v>
      </c>
    </row>
    <row r="1927" spans="2:11" x14ac:dyDescent="0.2">
      <c r="B1927">
        <v>22</v>
      </c>
      <c r="C1927">
        <v>5804</v>
      </c>
      <c r="D1927" s="308" t="s">
        <v>2499</v>
      </c>
      <c r="E1927" s="291">
        <v>1542</v>
      </c>
      <c r="F1927" s="291">
        <v>333</v>
      </c>
      <c r="G1927" s="291">
        <v>1767</v>
      </c>
      <c r="H1927" s="287">
        <v>0.21595330739299601</v>
      </c>
      <c r="I1927" s="211">
        <v>1.0611205432937201</v>
      </c>
      <c r="J1927" s="211">
        <v>-0.52003627019099696</v>
      </c>
      <c r="K1927" s="288">
        <v>-801.89592863451696</v>
      </c>
    </row>
    <row r="1928" spans="2:11" x14ac:dyDescent="0.2">
      <c r="B1928">
        <v>22</v>
      </c>
      <c r="C1928">
        <v>5805</v>
      </c>
      <c r="D1928" s="308" t="s">
        <v>2500</v>
      </c>
      <c r="E1928" s="291">
        <v>5423</v>
      </c>
      <c r="F1928" s="291">
        <v>2213</v>
      </c>
      <c r="G1928" s="291">
        <v>2450</v>
      </c>
      <c r="H1928" s="287">
        <v>0.40807671030794801</v>
      </c>
      <c r="I1928" s="211">
        <v>3.1167346938775502</v>
      </c>
      <c r="J1928" s="211">
        <v>-5.8673383449946798E-2</v>
      </c>
      <c r="K1928" s="288">
        <v>-318.18575844906098</v>
      </c>
    </row>
    <row r="1929" spans="2:11" x14ac:dyDescent="0.2">
      <c r="B1929">
        <v>22</v>
      </c>
      <c r="C1929">
        <v>5806</v>
      </c>
      <c r="D1929" s="308" t="s">
        <v>2501</v>
      </c>
      <c r="E1929" s="291">
        <v>2815</v>
      </c>
      <c r="F1929" s="291">
        <v>751</v>
      </c>
      <c r="G1929" s="291">
        <v>1111</v>
      </c>
      <c r="H1929" s="287">
        <v>0.26678507992895201</v>
      </c>
      <c r="I1929" s="211">
        <v>3.2097209720972102</v>
      </c>
      <c r="J1929" s="211">
        <v>-0.33001457945588297</v>
      </c>
      <c r="K1929" s="288">
        <v>-928.99104116831097</v>
      </c>
    </row>
    <row r="1930" spans="2:11" x14ac:dyDescent="0.2">
      <c r="B1930">
        <v>22</v>
      </c>
      <c r="C1930">
        <v>5812</v>
      </c>
      <c r="D1930" s="308" t="s">
        <v>2502</v>
      </c>
      <c r="E1930" s="291">
        <v>130</v>
      </c>
      <c r="F1930" s="291">
        <v>27</v>
      </c>
      <c r="G1930" s="291">
        <v>302</v>
      </c>
      <c r="H1930" s="287">
        <v>0.20769230769230801</v>
      </c>
      <c r="I1930" s="211">
        <v>0.51986754966887405</v>
      </c>
      <c r="J1930" s="211">
        <v>-0.60397250191615703</v>
      </c>
      <c r="K1930" s="288">
        <v>-78.516425249100394</v>
      </c>
    </row>
    <row r="1931" spans="2:11" x14ac:dyDescent="0.2">
      <c r="B1931">
        <v>22</v>
      </c>
      <c r="C1931">
        <v>5813</v>
      </c>
      <c r="D1931" s="308" t="s">
        <v>2503</v>
      </c>
      <c r="E1931" s="291">
        <v>446</v>
      </c>
      <c r="F1931" s="291">
        <v>94</v>
      </c>
      <c r="G1931" s="291">
        <v>330</v>
      </c>
      <c r="H1931" s="287">
        <v>0.21076233183856499</v>
      </c>
      <c r="I1931" s="211">
        <v>1.63636363636364</v>
      </c>
      <c r="J1931" s="211">
        <v>-0.54735845771611302</v>
      </c>
      <c r="K1931" s="288">
        <v>-244.12187214138601</v>
      </c>
    </row>
    <row r="1932" spans="2:11" x14ac:dyDescent="0.2">
      <c r="B1932">
        <v>22</v>
      </c>
      <c r="C1932">
        <v>5816</v>
      </c>
      <c r="D1932" s="308" t="s">
        <v>2504</v>
      </c>
      <c r="E1932" s="291">
        <v>2381</v>
      </c>
      <c r="F1932" s="291">
        <v>680</v>
      </c>
      <c r="G1932" s="291">
        <v>1179</v>
      </c>
      <c r="H1932" s="287">
        <v>0.28559428811423798</v>
      </c>
      <c r="I1932" s="211">
        <v>2.5962680237489399</v>
      </c>
      <c r="J1932" s="211">
        <v>-0.34567174899969899</v>
      </c>
      <c r="K1932" s="288">
        <v>-823.04443436828399</v>
      </c>
    </row>
    <row r="1933" spans="2:11" x14ac:dyDescent="0.2">
      <c r="B1933">
        <v>22</v>
      </c>
      <c r="C1933">
        <v>5817</v>
      </c>
      <c r="D1933" s="308" t="s">
        <v>2505</v>
      </c>
      <c r="E1933" s="291">
        <v>889</v>
      </c>
      <c r="F1933" s="291">
        <v>215</v>
      </c>
      <c r="G1933" s="291">
        <v>1017</v>
      </c>
      <c r="H1933" s="287">
        <v>0.24184476940382499</v>
      </c>
      <c r="I1933" s="211">
        <v>1.0855457227138601</v>
      </c>
      <c r="J1933" s="211">
        <v>-0.51201212462156498</v>
      </c>
      <c r="K1933" s="288">
        <v>-455.17877878857098</v>
      </c>
    </row>
    <row r="1934" spans="2:11" x14ac:dyDescent="0.2">
      <c r="B1934">
        <v>22</v>
      </c>
      <c r="C1934">
        <v>5819</v>
      </c>
      <c r="D1934" s="308" t="s">
        <v>2506</v>
      </c>
      <c r="E1934" s="291">
        <v>334</v>
      </c>
      <c r="F1934" s="291">
        <v>323</v>
      </c>
      <c r="G1934" s="291">
        <v>251</v>
      </c>
      <c r="H1934" s="287">
        <v>0.96706586826347296</v>
      </c>
      <c r="I1934" s="211">
        <v>2.6175298804780902</v>
      </c>
      <c r="J1934" s="211">
        <v>0.42134436080112903</v>
      </c>
      <c r="K1934" s="288">
        <v>140.729016507577</v>
      </c>
    </row>
    <row r="1935" spans="2:11" x14ac:dyDescent="0.2">
      <c r="B1935">
        <v>22</v>
      </c>
      <c r="C1935">
        <v>5821</v>
      </c>
      <c r="D1935" s="308" t="s">
        <v>2507</v>
      </c>
      <c r="E1935" s="291">
        <v>359</v>
      </c>
      <c r="F1935" s="291">
        <v>84</v>
      </c>
      <c r="G1935" s="291">
        <v>302</v>
      </c>
      <c r="H1935" s="287">
        <v>0.23398328690807799</v>
      </c>
      <c r="I1935" s="211">
        <v>1.46688741721854</v>
      </c>
      <c r="J1935" s="211">
        <v>-0.52809148103831105</v>
      </c>
      <c r="K1935" s="288">
        <v>-189.584841692754</v>
      </c>
    </row>
    <row r="1936" spans="2:11" x14ac:dyDescent="0.2">
      <c r="B1936">
        <v>22</v>
      </c>
      <c r="C1936">
        <v>5822</v>
      </c>
      <c r="D1936" s="308" t="s">
        <v>2508</v>
      </c>
      <c r="E1936" s="291">
        <v>9486</v>
      </c>
      <c r="F1936" s="291">
        <v>6673</v>
      </c>
      <c r="G1936" s="291">
        <v>2375</v>
      </c>
      <c r="H1936" s="287">
        <v>0.70345772717689203</v>
      </c>
      <c r="I1936" s="211">
        <v>6.8037894736842102</v>
      </c>
      <c r="J1936" s="211">
        <v>0.59712020495118801</v>
      </c>
      <c r="K1936" s="288">
        <v>5664.28226416697</v>
      </c>
    </row>
    <row r="1937" spans="2:11" x14ac:dyDescent="0.2">
      <c r="B1937">
        <v>22</v>
      </c>
      <c r="C1937">
        <v>5827</v>
      </c>
      <c r="D1937" s="308" t="s">
        <v>2509</v>
      </c>
      <c r="E1937" s="291">
        <v>262</v>
      </c>
      <c r="F1937" s="291">
        <v>132</v>
      </c>
      <c r="G1937" s="291">
        <v>372</v>
      </c>
      <c r="H1937" s="287">
        <v>0.50381679389313005</v>
      </c>
      <c r="I1937" s="211">
        <v>1.0591397849462401</v>
      </c>
      <c r="J1937" s="211">
        <v>-0.21230654724982501</v>
      </c>
      <c r="K1937" s="288">
        <v>-55.624315379454103</v>
      </c>
    </row>
    <row r="1938" spans="2:11" x14ac:dyDescent="0.2">
      <c r="B1938">
        <v>22</v>
      </c>
      <c r="C1938">
        <v>5828</v>
      </c>
      <c r="D1938" s="308" t="s">
        <v>2510</v>
      </c>
      <c r="E1938" s="291">
        <v>131</v>
      </c>
      <c r="F1938" s="291">
        <v>31</v>
      </c>
      <c r="G1938" s="291">
        <v>311</v>
      </c>
      <c r="H1938" s="287">
        <v>0.236641221374046</v>
      </c>
      <c r="I1938" s="211">
        <v>0.52090032154340804</v>
      </c>
      <c r="J1938" s="211">
        <v>-0.56802415556692798</v>
      </c>
      <c r="K1938" s="288">
        <v>-74.411164379267603</v>
      </c>
    </row>
    <row r="1939" spans="2:11" x14ac:dyDescent="0.2">
      <c r="B1939">
        <v>22</v>
      </c>
      <c r="C1939">
        <v>5830</v>
      </c>
      <c r="D1939" s="308" t="s">
        <v>2511</v>
      </c>
      <c r="E1939" s="291">
        <v>423</v>
      </c>
      <c r="F1939" s="291">
        <v>123</v>
      </c>
      <c r="G1939" s="291">
        <v>769</v>
      </c>
      <c r="H1939" s="287">
        <v>0.290780141843972</v>
      </c>
      <c r="I1939" s="211">
        <v>0.71001300390116995</v>
      </c>
      <c r="J1939" s="211">
        <v>-0.48288016628312003</v>
      </c>
      <c r="K1939" s="288">
        <v>-204.25831033776001</v>
      </c>
    </row>
    <row r="1940" spans="2:11" x14ac:dyDescent="0.2">
      <c r="B1940">
        <v>22</v>
      </c>
      <c r="C1940">
        <v>5831</v>
      </c>
      <c r="D1940" s="308" t="s">
        <v>2512</v>
      </c>
      <c r="E1940" s="291">
        <v>2962</v>
      </c>
      <c r="F1940" s="291">
        <v>1167</v>
      </c>
      <c r="G1940" s="291">
        <v>3334</v>
      </c>
      <c r="H1940" s="287">
        <v>0.39399054692775198</v>
      </c>
      <c r="I1940" s="211">
        <v>1.2384523095380899</v>
      </c>
      <c r="J1940" s="211">
        <v>-0.23869147333728799</v>
      </c>
      <c r="K1940" s="288">
        <v>-707.00414402504703</v>
      </c>
    </row>
    <row r="1941" spans="2:11" x14ac:dyDescent="0.2">
      <c r="B1941">
        <v>22</v>
      </c>
      <c r="C1941">
        <v>5841</v>
      </c>
      <c r="D1941" s="308" t="s">
        <v>2513</v>
      </c>
      <c r="E1941" s="291">
        <v>3474</v>
      </c>
      <c r="F1941" s="291">
        <v>1719</v>
      </c>
      <c r="G1941" s="291">
        <v>9511</v>
      </c>
      <c r="H1941" s="287">
        <v>0.49481865284974103</v>
      </c>
      <c r="I1941" s="211">
        <v>0.54599936915150904</v>
      </c>
      <c r="J1941" s="211">
        <v>-0.119449937978178</v>
      </c>
      <c r="K1941" s="288">
        <v>-414.96908453618897</v>
      </c>
    </row>
    <row r="1942" spans="2:11" x14ac:dyDescent="0.2">
      <c r="B1942">
        <v>22</v>
      </c>
      <c r="C1942">
        <v>5842</v>
      </c>
      <c r="D1942" s="308" t="s">
        <v>2514</v>
      </c>
      <c r="E1942" s="291">
        <v>544</v>
      </c>
      <c r="F1942" s="291">
        <v>148</v>
      </c>
      <c r="G1942" s="291">
        <v>2122</v>
      </c>
      <c r="H1942" s="287">
        <v>0.27205882352941202</v>
      </c>
      <c r="I1942" s="211">
        <v>0.326107445805844</v>
      </c>
      <c r="J1942" s="211">
        <v>-0.51546247972347703</v>
      </c>
      <c r="K1942" s="288">
        <v>-280.41158896957199</v>
      </c>
    </row>
    <row r="1943" spans="2:11" x14ac:dyDescent="0.2">
      <c r="B1943">
        <v>22</v>
      </c>
      <c r="C1943">
        <v>5843</v>
      </c>
      <c r="D1943" s="308" t="s">
        <v>2515</v>
      </c>
      <c r="E1943" s="291">
        <v>895</v>
      </c>
      <c r="F1943" s="291">
        <v>352</v>
      </c>
      <c r="G1943" s="291">
        <v>4111</v>
      </c>
      <c r="H1943" s="287">
        <v>0.393296089385475</v>
      </c>
      <c r="I1943" s="211">
        <v>0.30333252250060799</v>
      </c>
      <c r="J1943" s="211">
        <v>-0.35264903029062</v>
      </c>
      <c r="K1943" s="288">
        <v>-315.62088211010501</v>
      </c>
    </row>
    <row r="1944" spans="2:11" x14ac:dyDescent="0.2">
      <c r="B1944">
        <v>22</v>
      </c>
      <c r="C1944">
        <v>5851</v>
      </c>
      <c r="D1944" s="308" t="s">
        <v>2516</v>
      </c>
      <c r="E1944" s="291">
        <v>435</v>
      </c>
      <c r="F1944" s="291">
        <v>390</v>
      </c>
      <c r="G1944" s="291">
        <v>256</v>
      </c>
      <c r="H1944" s="287">
        <v>0.89655172413793105</v>
      </c>
      <c r="I1944" s="211">
        <v>3.22265625</v>
      </c>
      <c r="J1944" s="211">
        <v>0.35990307712717501</v>
      </c>
      <c r="K1944" s="288">
        <v>156.55783855032101</v>
      </c>
    </row>
    <row r="1945" spans="2:11" x14ac:dyDescent="0.2">
      <c r="B1945">
        <v>22</v>
      </c>
      <c r="C1945">
        <v>5852</v>
      </c>
      <c r="D1945" s="308" t="s">
        <v>2517</v>
      </c>
      <c r="E1945" s="291">
        <v>487</v>
      </c>
      <c r="F1945" s="291">
        <v>86</v>
      </c>
      <c r="G1945" s="291">
        <v>180</v>
      </c>
      <c r="H1945" s="287">
        <v>0.17659137577002099</v>
      </c>
      <c r="I1945" s="211">
        <v>3.18333333333333</v>
      </c>
      <c r="J1945" s="211">
        <v>-0.53169378750762297</v>
      </c>
      <c r="K1945" s="288">
        <v>-258.93487451621201</v>
      </c>
    </row>
    <row r="1946" spans="2:11" x14ac:dyDescent="0.2">
      <c r="B1946">
        <v>22</v>
      </c>
      <c r="C1946">
        <v>5853</v>
      </c>
      <c r="D1946" s="308" t="s">
        <v>2518</v>
      </c>
      <c r="E1946" s="291">
        <v>768</v>
      </c>
      <c r="F1946" s="291">
        <v>395</v>
      </c>
      <c r="G1946" s="291">
        <v>340</v>
      </c>
      <c r="H1946" s="287">
        <v>0.51432291666666696</v>
      </c>
      <c r="I1946" s="211">
        <v>3.4205882352941201</v>
      </c>
      <c r="J1946" s="211">
        <v>-9.3795815511733605E-2</v>
      </c>
      <c r="K1946" s="288">
        <v>-72.035186313011394</v>
      </c>
    </row>
    <row r="1947" spans="2:11" x14ac:dyDescent="0.2">
      <c r="B1947">
        <v>22</v>
      </c>
      <c r="C1947">
        <v>5854</v>
      </c>
      <c r="D1947" s="308" t="s">
        <v>2519</v>
      </c>
      <c r="E1947" s="291">
        <v>359</v>
      </c>
      <c r="F1947" s="291">
        <v>129</v>
      </c>
      <c r="G1947" s="291">
        <v>561</v>
      </c>
      <c r="H1947" s="287">
        <v>0.35933147632312001</v>
      </c>
      <c r="I1947" s="211">
        <v>0.86987522281639895</v>
      </c>
      <c r="J1947" s="211">
        <v>-0.39454661053957801</v>
      </c>
      <c r="K1947" s="288">
        <v>-141.64223318370901</v>
      </c>
    </row>
    <row r="1948" spans="2:11" x14ac:dyDescent="0.2">
      <c r="B1948">
        <v>22</v>
      </c>
      <c r="C1948">
        <v>5855</v>
      </c>
      <c r="D1948" s="308" t="s">
        <v>2520</v>
      </c>
      <c r="E1948" s="291">
        <v>638</v>
      </c>
      <c r="F1948" s="291">
        <v>108</v>
      </c>
      <c r="G1948" s="291">
        <v>163</v>
      </c>
      <c r="H1948" s="287">
        <v>0.16927899686520401</v>
      </c>
      <c r="I1948" s="211">
        <v>4.5766871165644201</v>
      </c>
      <c r="J1948" s="211">
        <v>-0.48414859775768998</v>
      </c>
      <c r="K1948" s="288">
        <v>-308.88680536940598</v>
      </c>
    </row>
    <row r="1949" spans="2:11" x14ac:dyDescent="0.2">
      <c r="B1949">
        <v>22</v>
      </c>
      <c r="C1949">
        <v>5856</v>
      </c>
      <c r="D1949" s="308" t="s">
        <v>2521</v>
      </c>
      <c r="E1949" s="291">
        <v>695</v>
      </c>
      <c r="F1949" s="291">
        <v>107</v>
      </c>
      <c r="G1949" s="291">
        <v>700</v>
      </c>
      <c r="H1949" s="287">
        <v>0.15395683453237399</v>
      </c>
      <c r="I1949" s="211">
        <v>1.1457142857142899</v>
      </c>
      <c r="J1949" s="211">
        <v>-0.62613707740468205</v>
      </c>
      <c r="K1949" s="288">
        <v>-435.165268796254</v>
      </c>
    </row>
    <row r="1950" spans="2:11" x14ac:dyDescent="0.2">
      <c r="B1950">
        <v>22</v>
      </c>
      <c r="C1950">
        <v>5857</v>
      </c>
      <c r="D1950" s="308" t="s">
        <v>2522</v>
      </c>
      <c r="E1950" s="291">
        <v>1235</v>
      </c>
      <c r="F1950" s="291">
        <v>317</v>
      </c>
      <c r="G1950" s="291">
        <v>772</v>
      </c>
      <c r="H1950" s="287">
        <v>0.25668016194332</v>
      </c>
      <c r="I1950" s="211">
        <v>2.0103626943005199</v>
      </c>
      <c r="J1950" s="211">
        <v>-0.44666602532542199</v>
      </c>
      <c r="K1950" s="288">
        <v>-551.63254127689595</v>
      </c>
    </row>
    <row r="1951" spans="2:11" x14ac:dyDescent="0.2">
      <c r="B1951">
        <v>22</v>
      </c>
      <c r="C1951">
        <v>5858</v>
      </c>
      <c r="D1951" s="308" t="s">
        <v>2523</v>
      </c>
      <c r="E1951" s="291">
        <v>624</v>
      </c>
      <c r="F1951" s="291">
        <v>148</v>
      </c>
      <c r="G1951" s="291">
        <v>262</v>
      </c>
      <c r="H1951" s="287">
        <v>0.237179487179487</v>
      </c>
      <c r="I1951" s="211">
        <v>2.9465648854961799</v>
      </c>
      <c r="J1951" s="211">
        <v>-0.46001901989631999</v>
      </c>
      <c r="K1951" s="288">
        <v>-287.05186841530298</v>
      </c>
    </row>
    <row r="1952" spans="2:11" x14ac:dyDescent="0.2">
      <c r="B1952">
        <v>22</v>
      </c>
      <c r="C1952">
        <v>5859</v>
      </c>
      <c r="D1952" s="308" t="s">
        <v>2524</v>
      </c>
      <c r="E1952" s="291">
        <v>2693</v>
      </c>
      <c r="F1952" s="291">
        <v>495</v>
      </c>
      <c r="G1952" s="291">
        <v>385</v>
      </c>
      <c r="H1952" s="287">
        <v>0.18380987746008201</v>
      </c>
      <c r="I1952" s="211">
        <v>8.2805194805194802</v>
      </c>
      <c r="J1952" s="211">
        <v>-0.25248691063765599</v>
      </c>
      <c r="K1952" s="288">
        <v>-679.94725034720705</v>
      </c>
    </row>
    <row r="1953" spans="2:11" x14ac:dyDescent="0.2">
      <c r="B1953">
        <v>22</v>
      </c>
      <c r="C1953">
        <v>5860</v>
      </c>
      <c r="D1953" s="308" t="s">
        <v>2525</v>
      </c>
      <c r="E1953" s="291">
        <v>1459</v>
      </c>
      <c r="F1953" s="291">
        <v>324</v>
      </c>
      <c r="G1953" s="291">
        <v>286</v>
      </c>
      <c r="H1953" s="287">
        <v>0.22206991089787501</v>
      </c>
      <c r="I1953" s="211">
        <v>6.2342657342657297</v>
      </c>
      <c r="J1953" s="211">
        <v>-0.32688492049384099</v>
      </c>
      <c r="K1953" s="288">
        <v>-476.92509900051402</v>
      </c>
    </row>
    <row r="1954" spans="2:11" x14ac:dyDescent="0.2">
      <c r="B1954">
        <v>22</v>
      </c>
      <c r="C1954">
        <v>5861</v>
      </c>
      <c r="D1954" s="308" t="s">
        <v>2526</v>
      </c>
      <c r="E1954" s="291">
        <v>6168</v>
      </c>
      <c r="F1954" s="291">
        <v>4378</v>
      </c>
      <c r="G1954" s="291">
        <v>269</v>
      </c>
      <c r="H1954" s="287">
        <v>0.70979247730220496</v>
      </c>
      <c r="I1954" s="211">
        <v>39.204460966542797</v>
      </c>
      <c r="J1954" s="211">
        <v>1.6603361037959901</v>
      </c>
      <c r="K1954" s="288">
        <v>10240.9530882136</v>
      </c>
    </row>
    <row r="1955" spans="2:11" x14ac:dyDescent="0.2">
      <c r="B1955">
        <v>22</v>
      </c>
      <c r="C1955">
        <v>5862</v>
      </c>
      <c r="D1955" s="308" t="s">
        <v>2527</v>
      </c>
      <c r="E1955" s="291">
        <v>236</v>
      </c>
      <c r="F1955" s="291">
        <v>87</v>
      </c>
      <c r="G1955" s="291">
        <v>108</v>
      </c>
      <c r="H1955" s="287">
        <v>0.36864406779661002</v>
      </c>
      <c r="I1955" s="211">
        <v>2.99074074074074</v>
      </c>
      <c r="J1955" s="211">
        <v>-0.31032633378942198</v>
      </c>
      <c r="K1955" s="288">
        <v>-73.237014774303603</v>
      </c>
    </row>
    <row r="1956" spans="2:11" x14ac:dyDescent="0.2">
      <c r="B1956">
        <v>22</v>
      </c>
      <c r="C1956">
        <v>5863</v>
      </c>
      <c r="D1956" s="308" t="s">
        <v>2528</v>
      </c>
      <c r="E1956" s="291">
        <v>352</v>
      </c>
      <c r="F1956" s="291">
        <v>103</v>
      </c>
      <c r="G1956" s="291">
        <v>108</v>
      </c>
      <c r="H1956" s="287">
        <v>0.29261363636363602</v>
      </c>
      <c r="I1956" s="211">
        <v>4.2129629629629601</v>
      </c>
      <c r="J1956" s="211">
        <v>-0.35551519254312403</v>
      </c>
      <c r="K1956" s="288">
        <v>-125.14134777517999</v>
      </c>
    </row>
    <row r="1957" spans="2:11" x14ac:dyDescent="0.2">
      <c r="B1957">
        <v>22</v>
      </c>
      <c r="C1957">
        <v>5871</v>
      </c>
      <c r="D1957" s="308" t="s">
        <v>2529</v>
      </c>
      <c r="E1957" s="291">
        <v>1467</v>
      </c>
      <c r="F1957" s="291">
        <v>1457</v>
      </c>
      <c r="G1957" s="291">
        <v>3139</v>
      </c>
      <c r="H1957" s="287">
        <v>0.99318336741649604</v>
      </c>
      <c r="I1957" s="211">
        <v>0.931506849315068</v>
      </c>
      <c r="J1957" s="211">
        <v>0.43548466337539499</v>
      </c>
      <c r="K1957" s="288">
        <v>638.85600117170395</v>
      </c>
    </row>
    <row r="1958" spans="2:11" x14ac:dyDescent="0.2">
      <c r="B1958">
        <v>22</v>
      </c>
      <c r="C1958">
        <v>5872</v>
      </c>
      <c r="D1958" s="308" t="s">
        <v>2530</v>
      </c>
      <c r="E1958" s="291">
        <v>4670</v>
      </c>
      <c r="F1958" s="291">
        <v>5649</v>
      </c>
      <c r="G1958" s="291">
        <v>9753</v>
      </c>
      <c r="H1958" s="287">
        <v>1.2096359743040701</v>
      </c>
      <c r="I1958" s="211">
        <v>1.05803342561263</v>
      </c>
      <c r="J1958" s="211">
        <v>0.83070625260138897</v>
      </c>
      <c r="K1958" s="288">
        <v>3879.3981996484899</v>
      </c>
    </row>
    <row r="1959" spans="2:11" x14ac:dyDescent="0.2">
      <c r="B1959">
        <v>22</v>
      </c>
      <c r="C1959">
        <v>5873</v>
      </c>
      <c r="D1959" s="308" t="s">
        <v>2531</v>
      </c>
      <c r="E1959" s="291">
        <v>873</v>
      </c>
      <c r="F1959" s="291">
        <v>699</v>
      </c>
      <c r="G1959" s="291">
        <v>3169</v>
      </c>
      <c r="H1959" s="287">
        <v>0.80068728522336796</v>
      </c>
      <c r="I1959" s="211">
        <v>0.496055538024613</v>
      </c>
      <c r="J1959" s="211">
        <v>0.15836646450029701</v>
      </c>
      <c r="K1959" s="288">
        <v>138.25392350876001</v>
      </c>
    </row>
    <row r="1960" spans="2:11" x14ac:dyDescent="0.2">
      <c r="B1960">
        <v>22</v>
      </c>
      <c r="C1960">
        <v>5881</v>
      </c>
      <c r="D1960" s="308" t="s">
        <v>2532</v>
      </c>
      <c r="E1960" s="291">
        <v>6125</v>
      </c>
      <c r="F1960" s="291">
        <v>1780</v>
      </c>
      <c r="G1960" s="291">
        <v>1571</v>
      </c>
      <c r="H1960" s="287">
        <v>0.290612244897959</v>
      </c>
      <c r="I1960" s="211">
        <v>5.0318268618714201</v>
      </c>
      <c r="J1960" s="211">
        <v>-0.10753556090708</v>
      </c>
      <c r="K1960" s="288">
        <v>-658.65531055586405</v>
      </c>
    </row>
    <row r="1961" spans="2:11" x14ac:dyDescent="0.2">
      <c r="B1961">
        <v>22</v>
      </c>
      <c r="C1961">
        <v>5882</v>
      </c>
      <c r="D1961" s="308" t="s">
        <v>2533</v>
      </c>
      <c r="E1961" s="291">
        <v>2908</v>
      </c>
      <c r="F1961" s="291">
        <v>672</v>
      </c>
      <c r="G1961" s="291">
        <v>1024</v>
      </c>
      <c r="H1961" s="287">
        <v>0.23108665749656099</v>
      </c>
      <c r="I1961" s="211">
        <v>3.49609375</v>
      </c>
      <c r="J1961" s="211">
        <v>-0.360248934698434</v>
      </c>
      <c r="K1961" s="288">
        <v>-1047.6039021030499</v>
      </c>
    </row>
    <row r="1962" spans="2:11" x14ac:dyDescent="0.2">
      <c r="B1962">
        <v>22</v>
      </c>
      <c r="C1962">
        <v>5883</v>
      </c>
      <c r="D1962" s="308" t="s">
        <v>2534</v>
      </c>
      <c r="E1962" s="291">
        <v>2220</v>
      </c>
      <c r="F1962" s="291">
        <v>420</v>
      </c>
      <c r="G1962" s="291">
        <v>106</v>
      </c>
      <c r="H1962" s="287">
        <v>0.18918918918918901</v>
      </c>
      <c r="I1962" s="211">
        <v>24.905660377358501</v>
      </c>
      <c r="J1962" s="211">
        <v>0.34267752498940901</v>
      </c>
      <c r="K1962" s="288">
        <v>760.74410547648802</v>
      </c>
    </row>
    <row r="1963" spans="2:11" x14ac:dyDescent="0.2">
      <c r="B1963">
        <v>22</v>
      </c>
      <c r="C1963">
        <v>5884</v>
      </c>
      <c r="D1963" s="308" t="s">
        <v>2535</v>
      </c>
      <c r="E1963" s="291">
        <v>3420</v>
      </c>
      <c r="F1963" s="291">
        <v>1425</v>
      </c>
      <c r="G1963" s="291">
        <v>669</v>
      </c>
      <c r="H1963" s="287">
        <v>0.41666666666666702</v>
      </c>
      <c r="I1963" s="211">
        <v>7.2421524663677097</v>
      </c>
      <c r="J1963" s="211">
        <v>2.59541259294645E-2</v>
      </c>
      <c r="K1963" s="288">
        <v>88.763110678768697</v>
      </c>
    </row>
    <row r="1964" spans="2:11" x14ac:dyDescent="0.2">
      <c r="B1964">
        <v>22</v>
      </c>
      <c r="C1964">
        <v>5885</v>
      </c>
      <c r="D1964" s="308" t="s">
        <v>2536</v>
      </c>
      <c r="E1964" s="291">
        <v>1488</v>
      </c>
      <c r="F1964" s="291">
        <v>191</v>
      </c>
      <c r="G1964" s="291">
        <v>215</v>
      </c>
      <c r="H1964" s="287">
        <v>0.12836021505376299</v>
      </c>
      <c r="I1964" s="211">
        <v>7.8093023255813998</v>
      </c>
      <c r="J1964" s="211">
        <v>-0.38443300934735603</v>
      </c>
      <c r="K1964" s="288">
        <v>-572.03631790886595</v>
      </c>
    </row>
    <row r="1965" spans="2:11" x14ac:dyDescent="0.2">
      <c r="B1965">
        <v>22</v>
      </c>
      <c r="C1965">
        <v>5886</v>
      </c>
      <c r="D1965" s="308" t="s">
        <v>2537</v>
      </c>
      <c r="E1965" s="291">
        <v>26629</v>
      </c>
      <c r="F1965" s="291">
        <v>12380</v>
      </c>
      <c r="G1965" s="291">
        <v>3182</v>
      </c>
      <c r="H1965" s="287">
        <v>0.46490668068647001</v>
      </c>
      <c r="I1965" s="211">
        <v>12.2592708988058</v>
      </c>
      <c r="J1965" s="211">
        <v>1.1555855912008901</v>
      </c>
      <c r="K1965" s="288">
        <v>30772.0887080885</v>
      </c>
    </row>
    <row r="1966" spans="2:11" x14ac:dyDescent="0.2">
      <c r="B1966">
        <v>22</v>
      </c>
      <c r="C1966">
        <v>5888</v>
      </c>
      <c r="D1966" s="308" t="s">
        <v>2538</v>
      </c>
      <c r="E1966" s="291">
        <v>5126</v>
      </c>
      <c r="F1966" s="291">
        <v>2487</v>
      </c>
      <c r="G1966" s="291">
        <v>1500</v>
      </c>
      <c r="H1966" s="287">
        <v>0.48517362465860298</v>
      </c>
      <c r="I1966" s="211">
        <v>5.0753333333333304</v>
      </c>
      <c r="J1966" s="211">
        <v>9.69740081455924E-2</v>
      </c>
      <c r="K1966" s="288">
        <v>497.08876575430702</v>
      </c>
    </row>
    <row r="1967" spans="2:11" x14ac:dyDescent="0.2">
      <c r="B1967">
        <v>22</v>
      </c>
      <c r="C1967">
        <v>5889</v>
      </c>
      <c r="D1967" s="308" t="s">
        <v>2539</v>
      </c>
      <c r="E1967" s="291">
        <v>11652</v>
      </c>
      <c r="F1967" s="291">
        <v>3284</v>
      </c>
      <c r="G1967" s="291">
        <v>326</v>
      </c>
      <c r="H1967" s="287">
        <v>0.281840027463096</v>
      </c>
      <c r="I1967" s="211">
        <v>45.815950920245399</v>
      </c>
      <c r="J1967" s="211">
        <v>1.5807950638355699</v>
      </c>
      <c r="K1967" s="288">
        <v>18419.4240838121</v>
      </c>
    </row>
    <row r="1968" spans="2:11" x14ac:dyDescent="0.2">
      <c r="B1968">
        <v>22</v>
      </c>
      <c r="C1968">
        <v>5890</v>
      </c>
      <c r="D1968" s="308" t="s">
        <v>2540</v>
      </c>
      <c r="E1968" s="291">
        <v>19780</v>
      </c>
      <c r="F1968" s="291">
        <v>14313</v>
      </c>
      <c r="G1968" s="291">
        <v>231</v>
      </c>
      <c r="H1968" s="287">
        <v>0.72360970677451997</v>
      </c>
      <c r="I1968" s="211">
        <v>147.58874458874499</v>
      </c>
      <c r="J1968" s="211">
        <v>6.1519879640486801</v>
      </c>
      <c r="K1968" s="288">
        <v>121686.321928883</v>
      </c>
    </row>
    <row r="1969" spans="2:11" x14ac:dyDescent="0.2">
      <c r="B1969">
        <v>22</v>
      </c>
      <c r="C1969">
        <v>5891</v>
      </c>
      <c r="D1969" s="308" t="s">
        <v>2541</v>
      </c>
      <c r="E1969" s="291">
        <v>874</v>
      </c>
      <c r="F1969" s="291">
        <v>232</v>
      </c>
      <c r="G1969" s="291">
        <v>639</v>
      </c>
      <c r="H1969" s="287">
        <v>0.265446224256293</v>
      </c>
      <c r="I1969" s="211">
        <v>1.7308294209702699</v>
      </c>
      <c r="J1969" s="211">
        <v>-0.45979588229429702</v>
      </c>
      <c r="K1969" s="288">
        <v>-401.86160112521497</v>
      </c>
    </row>
    <row r="1970" spans="2:11" x14ac:dyDescent="0.2">
      <c r="B1970">
        <v>22</v>
      </c>
      <c r="C1970">
        <v>5902</v>
      </c>
      <c r="D1970" s="308" t="s">
        <v>2542</v>
      </c>
      <c r="E1970" s="291">
        <v>368</v>
      </c>
      <c r="F1970" s="291">
        <v>74</v>
      </c>
      <c r="G1970" s="291">
        <v>648</v>
      </c>
      <c r="H1970" s="287">
        <v>0.201086956521739</v>
      </c>
      <c r="I1970" s="211">
        <v>0.68209876543209902</v>
      </c>
      <c r="J1970" s="211">
        <v>-0.59714472346341796</v>
      </c>
      <c r="K1970" s="288">
        <v>-219.74925823453799</v>
      </c>
    </row>
    <row r="1971" spans="2:11" x14ac:dyDescent="0.2">
      <c r="B1971">
        <v>22</v>
      </c>
      <c r="C1971">
        <v>5903</v>
      </c>
      <c r="D1971" s="308" t="s">
        <v>2543</v>
      </c>
      <c r="E1971" s="291">
        <v>230</v>
      </c>
      <c r="F1971" s="291">
        <v>37</v>
      </c>
      <c r="G1971" s="291">
        <v>427</v>
      </c>
      <c r="H1971" s="287">
        <v>0.16086956521739099</v>
      </c>
      <c r="I1971" s="211">
        <v>0.62529274004683799</v>
      </c>
      <c r="J1971" s="211">
        <v>-0.65432615917455506</v>
      </c>
      <c r="K1971" s="288">
        <v>-150.49501661014801</v>
      </c>
    </row>
    <row r="1972" spans="2:11" x14ac:dyDescent="0.2">
      <c r="B1972">
        <v>22</v>
      </c>
      <c r="C1972">
        <v>5904</v>
      </c>
      <c r="D1972" s="308" t="s">
        <v>2544</v>
      </c>
      <c r="E1972" s="291">
        <v>547</v>
      </c>
      <c r="F1972" s="291">
        <v>265</v>
      </c>
      <c r="G1972" s="291">
        <v>284</v>
      </c>
      <c r="H1972" s="287">
        <v>0.48446069469835501</v>
      </c>
      <c r="I1972" s="211">
        <v>2.8591549295774601</v>
      </c>
      <c r="J1972" s="211">
        <v>-0.15972831208220001</v>
      </c>
      <c r="K1972" s="288">
        <v>-87.3713867089632</v>
      </c>
    </row>
    <row r="1973" spans="2:11" x14ac:dyDescent="0.2">
      <c r="B1973">
        <v>22</v>
      </c>
      <c r="C1973">
        <v>5905</v>
      </c>
      <c r="D1973" s="308" t="s">
        <v>2545</v>
      </c>
      <c r="E1973" s="291">
        <v>651</v>
      </c>
      <c r="F1973" s="291">
        <v>227</v>
      </c>
      <c r="G1973" s="291">
        <v>896</v>
      </c>
      <c r="H1973" s="287">
        <v>0.34869431643625198</v>
      </c>
      <c r="I1973" s="211">
        <v>0.97991071428571397</v>
      </c>
      <c r="J1973" s="211">
        <v>-0.39255596522237601</v>
      </c>
      <c r="K1973" s="288">
        <v>-255.553933359767</v>
      </c>
    </row>
    <row r="1974" spans="2:11" x14ac:dyDescent="0.2">
      <c r="B1974">
        <v>22</v>
      </c>
      <c r="C1974">
        <v>5907</v>
      </c>
      <c r="D1974" s="308" t="s">
        <v>2546</v>
      </c>
      <c r="E1974" s="291">
        <v>300</v>
      </c>
      <c r="F1974" s="291">
        <v>61</v>
      </c>
      <c r="G1974" s="291">
        <v>397</v>
      </c>
      <c r="H1974" s="287">
        <v>0.20333333333333301</v>
      </c>
      <c r="I1974" s="211">
        <v>0.90931989924433299</v>
      </c>
      <c r="J1974" s="211">
        <v>-0.58866912825925599</v>
      </c>
      <c r="K1974" s="288">
        <v>-176.60073847777701</v>
      </c>
    </row>
    <row r="1975" spans="2:11" x14ac:dyDescent="0.2">
      <c r="B1975">
        <v>22</v>
      </c>
      <c r="C1975">
        <v>5908</v>
      </c>
      <c r="D1975" s="308" t="s">
        <v>2547</v>
      </c>
      <c r="E1975" s="291">
        <v>139</v>
      </c>
      <c r="F1975" s="291">
        <v>48</v>
      </c>
      <c r="G1975" s="291">
        <v>208</v>
      </c>
      <c r="H1975" s="287">
        <v>0.34532374100719399</v>
      </c>
      <c r="I1975" s="211">
        <v>0.89903846153846201</v>
      </c>
      <c r="J1975" s="211">
        <v>-0.41924655051496801</v>
      </c>
      <c r="K1975" s="288">
        <v>-58.275270521580502</v>
      </c>
    </row>
    <row r="1976" spans="2:11" x14ac:dyDescent="0.2">
      <c r="B1976">
        <v>22</v>
      </c>
      <c r="C1976">
        <v>5909</v>
      </c>
      <c r="D1976" s="308" t="s">
        <v>2548</v>
      </c>
      <c r="E1976" s="291">
        <v>669</v>
      </c>
      <c r="F1976" s="291">
        <v>259</v>
      </c>
      <c r="G1976" s="291">
        <v>537</v>
      </c>
      <c r="H1976" s="287">
        <v>0.38714499252615803</v>
      </c>
      <c r="I1976" s="211">
        <v>1.72811918063315</v>
      </c>
      <c r="J1976" s="211">
        <v>-0.316922956597948</v>
      </c>
      <c r="K1976" s="288">
        <v>-212.02145796402701</v>
      </c>
    </row>
    <row r="1977" spans="2:11" x14ac:dyDescent="0.2">
      <c r="B1977">
        <v>22</v>
      </c>
      <c r="C1977">
        <v>5910</v>
      </c>
      <c r="D1977" s="308" t="s">
        <v>2549</v>
      </c>
      <c r="E1977" s="291">
        <v>376</v>
      </c>
      <c r="F1977" s="291">
        <v>59</v>
      </c>
      <c r="G1977" s="291">
        <v>655</v>
      </c>
      <c r="H1977" s="287">
        <v>0.15691489361702099</v>
      </c>
      <c r="I1977" s="211">
        <v>0.66412213740458004</v>
      </c>
      <c r="J1977" s="211">
        <v>-0.65223136539478699</v>
      </c>
      <c r="K1977" s="288">
        <v>-245.23899338844001</v>
      </c>
    </row>
    <row r="1978" spans="2:11" x14ac:dyDescent="0.2">
      <c r="B1978">
        <v>22</v>
      </c>
      <c r="C1978">
        <v>5911</v>
      </c>
      <c r="D1978" s="308" t="s">
        <v>2550</v>
      </c>
      <c r="E1978" s="291">
        <v>238</v>
      </c>
      <c r="F1978" s="291">
        <v>60</v>
      </c>
      <c r="G1978" s="291">
        <v>462</v>
      </c>
      <c r="H1978" s="287">
        <v>0.252100840336134</v>
      </c>
      <c r="I1978" s="211">
        <v>0.64502164502164505</v>
      </c>
      <c r="J1978" s="211">
        <v>-0.54025014489297196</v>
      </c>
      <c r="K1978" s="288">
        <v>-128.57953448452699</v>
      </c>
    </row>
    <row r="1979" spans="2:11" x14ac:dyDescent="0.2">
      <c r="B1979">
        <v>22</v>
      </c>
      <c r="C1979">
        <v>5912</v>
      </c>
      <c r="D1979" s="308" t="s">
        <v>2551</v>
      </c>
      <c r="E1979" s="291">
        <v>126</v>
      </c>
      <c r="F1979" s="291">
        <v>55</v>
      </c>
      <c r="G1979" s="291">
        <v>429</v>
      </c>
      <c r="H1979" s="287">
        <v>0.43650793650793701</v>
      </c>
      <c r="I1979" s="211">
        <v>0.421911421911422</v>
      </c>
      <c r="J1979" s="211">
        <v>-0.32415916518355598</v>
      </c>
      <c r="K1979" s="288">
        <v>-40.844054813128103</v>
      </c>
    </row>
    <row r="1980" spans="2:11" x14ac:dyDescent="0.2">
      <c r="B1980">
        <v>22</v>
      </c>
      <c r="C1980">
        <v>5913</v>
      </c>
      <c r="D1980" s="308" t="s">
        <v>2552</v>
      </c>
      <c r="E1980" s="291">
        <v>782</v>
      </c>
      <c r="F1980" s="291">
        <v>152</v>
      </c>
      <c r="G1980" s="291">
        <v>893</v>
      </c>
      <c r="H1980" s="287">
        <v>0.19437340153452701</v>
      </c>
      <c r="I1980" s="211">
        <v>1.04591265397536</v>
      </c>
      <c r="J1980" s="211">
        <v>-0.57637137564101604</v>
      </c>
      <c r="K1980" s="288">
        <v>-450.72241575127498</v>
      </c>
    </row>
    <row r="1981" spans="2:11" x14ac:dyDescent="0.2">
      <c r="B1981">
        <v>22</v>
      </c>
      <c r="C1981">
        <v>5914</v>
      </c>
      <c r="D1981" s="308" t="s">
        <v>2553</v>
      </c>
      <c r="E1981" s="291">
        <v>351</v>
      </c>
      <c r="F1981" s="291">
        <v>58</v>
      </c>
      <c r="G1981" s="291">
        <v>469</v>
      </c>
      <c r="H1981" s="287">
        <v>0.16524216524216501</v>
      </c>
      <c r="I1981" s="211">
        <v>0.87206823027718505</v>
      </c>
      <c r="J1981" s="211">
        <v>-0.63528078996459703</v>
      </c>
      <c r="K1981" s="288">
        <v>-222.98355727757399</v>
      </c>
    </row>
    <row r="1982" spans="2:11" x14ac:dyDescent="0.2">
      <c r="B1982">
        <v>22</v>
      </c>
      <c r="C1982">
        <v>5919</v>
      </c>
      <c r="D1982" s="308" t="s">
        <v>2554</v>
      </c>
      <c r="E1982" s="291">
        <v>616</v>
      </c>
      <c r="F1982" s="291">
        <v>124</v>
      </c>
      <c r="G1982" s="291">
        <v>651</v>
      </c>
      <c r="H1982" s="287">
        <v>0.201298701298701</v>
      </c>
      <c r="I1982" s="211">
        <v>1.1367127496159799</v>
      </c>
      <c r="J1982" s="211">
        <v>-0.57081970433676099</v>
      </c>
      <c r="K1982" s="288">
        <v>-351.62493787144501</v>
      </c>
    </row>
    <row r="1983" spans="2:11" x14ac:dyDescent="0.2">
      <c r="B1983">
        <v>22</v>
      </c>
      <c r="C1983">
        <v>5921</v>
      </c>
      <c r="D1983" s="308" t="s">
        <v>2555</v>
      </c>
      <c r="E1983" s="291">
        <v>218</v>
      </c>
      <c r="F1983" s="291">
        <v>103</v>
      </c>
      <c r="G1983" s="291">
        <v>552</v>
      </c>
      <c r="H1983" s="287">
        <v>0.47247706422018299</v>
      </c>
      <c r="I1983" s="211">
        <v>0.58152173913043503</v>
      </c>
      <c r="J1983" s="211">
        <v>-0.27024882540343598</v>
      </c>
      <c r="K1983" s="288">
        <v>-58.914243937949003</v>
      </c>
    </row>
    <row r="1984" spans="2:11" x14ac:dyDescent="0.2">
      <c r="B1984">
        <v>22</v>
      </c>
      <c r="C1984">
        <v>5922</v>
      </c>
      <c r="D1984" s="308" t="s">
        <v>2556</v>
      </c>
      <c r="E1984" s="291">
        <v>734</v>
      </c>
      <c r="F1984" s="291">
        <v>1503</v>
      </c>
      <c r="G1984" s="291">
        <v>348</v>
      </c>
      <c r="H1984" s="287">
        <v>2.0476839237057201</v>
      </c>
      <c r="I1984" s="211">
        <v>6.4281609195402298</v>
      </c>
      <c r="J1984" s="211">
        <v>1.91472295416609</v>
      </c>
      <c r="K1984" s="288">
        <v>1405.4066483579099</v>
      </c>
    </row>
    <row r="1985" spans="2:11" x14ac:dyDescent="0.2">
      <c r="B1985">
        <v>22</v>
      </c>
      <c r="C1985">
        <v>5923</v>
      </c>
      <c r="D1985" s="308" t="s">
        <v>2557</v>
      </c>
      <c r="E1985" s="291">
        <v>186</v>
      </c>
      <c r="F1985" s="291">
        <v>162</v>
      </c>
      <c r="G1985" s="291">
        <v>358</v>
      </c>
      <c r="H1985" s="287">
        <v>0.87096774193548399</v>
      </c>
      <c r="I1985" s="211">
        <v>0.972067039106145</v>
      </c>
      <c r="J1985" s="211">
        <v>0.236572958218429</v>
      </c>
      <c r="K1985" s="288">
        <v>44.002570228627903</v>
      </c>
    </row>
    <row r="1986" spans="2:11" x14ac:dyDescent="0.2">
      <c r="B1986">
        <v>22</v>
      </c>
      <c r="C1986">
        <v>5924</v>
      </c>
      <c r="D1986" s="308" t="s">
        <v>2558</v>
      </c>
      <c r="E1986" s="291">
        <v>292</v>
      </c>
      <c r="F1986" s="291">
        <v>120</v>
      </c>
      <c r="G1986" s="291">
        <v>406</v>
      </c>
      <c r="H1986" s="287">
        <v>0.41095890410958902</v>
      </c>
      <c r="I1986" s="211">
        <v>1.0147783251231499</v>
      </c>
      <c r="J1986" s="211">
        <v>-0.32784496806673302</v>
      </c>
      <c r="K1986" s="288">
        <v>-95.730730675486001</v>
      </c>
    </row>
    <row r="1987" spans="2:11" x14ac:dyDescent="0.2">
      <c r="B1987">
        <v>22</v>
      </c>
      <c r="C1987">
        <v>5925</v>
      </c>
      <c r="D1987" s="308" t="s">
        <v>2559</v>
      </c>
      <c r="E1987" s="291">
        <v>201</v>
      </c>
      <c r="F1987" s="291">
        <v>78</v>
      </c>
      <c r="G1987" s="291">
        <v>421</v>
      </c>
      <c r="H1987" s="287">
        <v>0.38805970149253699</v>
      </c>
      <c r="I1987" s="211">
        <v>0.66270783847980996</v>
      </c>
      <c r="J1987" s="211">
        <v>-0.37254326439728902</v>
      </c>
      <c r="K1987" s="288">
        <v>-74.881196143855107</v>
      </c>
    </row>
    <row r="1988" spans="2:11" x14ac:dyDescent="0.2">
      <c r="B1988">
        <v>22</v>
      </c>
      <c r="C1988">
        <v>5926</v>
      </c>
      <c r="D1988" s="308" t="s">
        <v>2560</v>
      </c>
      <c r="E1988" s="291">
        <v>760</v>
      </c>
      <c r="F1988" s="291">
        <v>237</v>
      </c>
      <c r="G1988" s="291">
        <v>560</v>
      </c>
      <c r="H1988" s="287">
        <v>0.31184210526315798</v>
      </c>
      <c r="I1988" s="211">
        <v>1.7803571428571401</v>
      </c>
      <c r="J1988" s="211">
        <v>-0.404852620354198</v>
      </c>
      <c r="K1988" s="288">
        <v>-307.68799146919002</v>
      </c>
    </row>
    <row r="1989" spans="2:11" x14ac:dyDescent="0.2">
      <c r="B1989">
        <v>22</v>
      </c>
      <c r="C1989">
        <v>5928</v>
      </c>
      <c r="D1989" s="308" t="s">
        <v>2561</v>
      </c>
      <c r="E1989" s="291">
        <v>171</v>
      </c>
      <c r="F1989" s="291">
        <v>34</v>
      </c>
      <c r="G1989" s="291">
        <v>323</v>
      </c>
      <c r="H1989" s="287">
        <v>0.198830409356725</v>
      </c>
      <c r="I1989" s="211">
        <v>0.63467492260061897</v>
      </c>
      <c r="J1989" s="211">
        <v>-0.60919848990351</v>
      </c>
      <c r="K1989" s="288">
        <v>-104.1729417735</v>
      </c>
    </row>
    <row r="1990" spans="2:11" x14ac:dyDescent="0.2">
      <c r="B1990">
        <v>22</v>
      </c>
      <c r="C1990">
        <v>5929</v>
      </c>
      <c r="D1990" s="308" t="s">
        <v>2562</v>
      </c>
      <c r="E1990" s="291">
        <v>606</v>
      </c>
      <c r="F1990" s="291">
        <v>100</v>
      </c>
      <c r="G1990" s="291">
        <v>669</v>
      </c>
      <c r="H1990" s="287">
        <v>0.16501650165016499</v>
      </c>
      <c r="I1990" s="211">
        <v>1.05530642750374</v>
      </c>
      <c r="J1990" s="211">
        <v>-0.61913152638784597</v>
      </c>
      <c r="K1990" s="288">
        <v>-375.193704991034</v>
      </c>
    </row>
    <row r="1991" spans="2:11" x14ac:dyDescent="0.2">
      <c r="B1991">
        <v>22</v>
      </c>
      <c r="C1991">
        <v>5930</v>
      </c>
      <c r="D1991" s="308" t="s">
        <v>2563</v>
      </c>
      <c r="E1991" s="291">
        <v>199</v>
      </c>
      <c r="F1991" s="291">
        <v>42</v>
      </c>
      <c r="G1991" s="291">
        <v>404</v>
      </c>
      <c r="H1991" s="287">
        <v>0.21105527638190999</v>
      </c>
      <c r="I1991" s="211">
        <v>0.59653465346534695</v>
      </c>
      <c r="J1991" s="211">
        <v>-0.59437156333043795</v>
      </c>
      <c r="K1991" s="288">
        <v>-118.27994110275699</v>
      </c>
    </row>
    <row r="1992" spans="2:11" x14ac:dyDescent="0.2">
      <c r="B1992">
        <v>22</v>
      </c>
      <c r="C1992">
        <v>5931</v>
      </c>
      <c r="D1992" s="308" t="s">
        <v>2564</v>
      </c>
      <c r="E1992" s="291">
        <v>445</v>
      </c>
      <c r="F1992" s="291">
        <v>81</v>
      </c>
      <c r="G1992" s="291">
        <v>205</v>
      </c>
      <c r="H1992" s="287">
        <v>0.182022471910112</v>
      </c>
      <c r="I1992" s="211">
        <v>2.5658536585365899</v>
      </c>
      <c r="J1992" s="211">
        <v>-0.54909743777243403</v>
      </c>
      <c r="K1992" s="288">
        <v>-244.34835980873299</v>
      </c>
    </row>
    <row r="1993" spans="2:11" x14ac:dyDescent="0.2">
      <c r="B1993">
        <v>22</v>
      </c>
      <c r="C1993">
        <v>5932</v>
      </c>
      <c r="D1993" s="308" t="s">
        <v>2565</v>
      </c>
      <c r="E1993" s="291">
        <v>210</v>
      </c>
      <c r="F1993" s="291">
        <v>28</v>
      </c>
      <c r="G1993" s="291">
        <v>338</v>
      </c>
      <c r="H1993" s="287">
        <v>0.133333333333333</v>
      </c>
      <c r="I1993" s="211">
        <v>0.70414201183432001</v>
      </c>
      <c r="J1993" s="211">
        <v>-0.68633542811260695</v>
      </c>
      <c r="K1993" s="288">
        <v>-144.13043990364801</v>
      </c>
    </row>
    <row r="1994" spans="2:11" x14ac:dyDescent="0.2">
      <c r="B1994">
        <v>22</v>
      </c>
      <c r="C1994">
        <v>5933</v>
      </c>
      <c r="D1994" s="308" t="s">
        <v>2566</v>
      </c>
      <c r="E1994" s="291">
        <v>692</v>
      </c>
      <c r="F1994" s="291">
        <v>97</v>
      </c>
      <c r="G1994" s="291">
        <v>224</v>
      </c>
      <c r="H1994" s="287">
        <v>0.140173410404624</v>
      </c>
      <c r="I1994" s="211">
        <v>3.5223214285714302</v>
      </c>
      <c r="J1994" s="211">
        <v>-0.55662063336268197</v>
      </c>
      <c r="K1994" s="288">
        <v>-385.18147828697602</v>
      </c>
    </row>
    <row r="1995" spans="2:11" x14ac:dyDescent="0.2">
      <c r="B1995">
        <v>22</v>
      </c>
      <c r="C1995">
        <v>5934</v>
      </c>
      <c r="D1995" s="308" t="s">
        <v>2567</v>
      </c>
      <c r="E1995" s="291">
        <v>247</v>
      </c>
      <c r="F1995" s="291">
        <v>53</v>
      </c>
      <c r="G1995" s="291">
        <v>285</v>
      </c>
      <c r="H1995" s="287">
        <v>0.21457489878542499</v>
      </c>
      <c r="I1995" s="211">
        <v>1.0526315789473699</v>
      </c>
      <c r="J1995" s="211">
        <v>-0.57153532932343298</v>
      </c>
      <c r="K1995" s="288">
        <v>-141.16922634288801</v>
      </c>
    </row>
    <row r="1996" spans="2:11" x14ac:dyDescent="0.2">
      <c r="B1996">
        <v>22</v>
      </c>
      <c r="C1996">
        <v>5935</v>
      </c>
      <c r="D1996" s="308" t="s">
        <v>2568</v>
      </c>
      <c r="E1996" s="291">
        <v>105</v>
      </c>
      <c r="F1996" s="291">
        <v>24</v>
      </c>
      <c r="G1996" s="291">
        <v>87</v>
      </c>
      <c r="H1996" s="287">
        <v>0.22857142857142901</v>
      </c>
      <c r="I1996" s="211">
        <v>1.4827586206896599</v>
      </c>
      <c r="J1996" s="211">
        <v>-0.54392380301839405</v>
      </c>
      <c r="K1996" s="288">
        <v>-57.111999316931403</v>
      </c>
    </row>
    <row r="1997" spans="2:11" x14ac:dyDescent="0.2">
      <c r="B1997">
        <v>22</v>
      </c>
      <c r="C1997">
        <v>5937</v>
      </c>
      <c r="D1997" s="308" t="s">
        <v>2569</v>
      </c>
      <c r="E1997" s="291">
        <v>134</v>
      </c>
      <c r="F1997" s="291">
        <v>22</v>
      </c>
      <c r="G1997" s="291">
        <v>304</v>
      </c>
      <c r="H1997" s="287">
        <v>0.164179104477612</v>
      </c>
      <c r="I1997" s="211">
        <v>0.51315789473684204</v>
      </c>
      <c r="J1997" s="211">
        <v>-0.65798446860163096</v>
      </c>
      <c r="K1997" s="288">
        <v>-88.169918792618603</v>
      </c>
    </row>
    <row r="1998" spans="2:11" x14ac:dyDescent="0.2">
      <c r="B1998">
        <v>22</v>
      </c>
      <c r="C1998">
        <v>5938</v>
      </c>
      <c r="D1998" s="308" t="s">
        <v>2570</v>
      </c>
      <c r="E1998" s="291">
        <v>29977</v>
      </c>
      <c r="F1998" s="291">
        <v>17924</v>
      </c>
      <c r="G1998" s="291">
        <v>1299</v>
      </c>
      <c r="H1998" s="287">
        <v>0.597925075891517</v>
      </c>
      <c r="I1998" s="211">
        <v>36.875288683602797</v>
      </c>
      <c r="J1998" s="211">
        <v>2.3464629629542499</v>
      </c>
      <c r="K1998" s="288">
        <v>70339.920240479594</v>
      </c>
    </row>
    <row r="1999" spans="2:11" x14ac:dyDescent="0.2">
      <c r="B1999">
        <v>22</v>
      </c>
      <c r="C1999">
        <v>5939</v>
      </c>
      <c r="D1999" s="308" t="s">
        <v>2571</v>
      </c>
      <c r="E1999" s="291">
        <v>3250</v>
      </c>
      <c r="F1999" s="291">
        <v>919</v>
      </c>
      <c r="G1999" s="291">
        <v>1292</v>
      </c>
      <c r="H1999" s="287">
        <v>0.28276923076923099</v>
      </c>
      <c r="I1999" s="211">
        <v>3.2267801857585101</v>
      </c>
      <c r="J1999" s="211">
        <v>-0.29296406465160302</v>
      </c>
      <c r="K1999" s="288">
        <v>-952.13321011771097</v>
      </c>
    </row>
    <row r="2000" spans="2:11" x14ac:dyDescent="0.2">
      <c r="B2000">
        <v>23</v>
      </c>
      <c r="C2000">
        <v>6002</v>
      </c>
      <c r="D2000" s="308" t="s">
        <v>2572</v>
      </c>
      <c r="E2000" s="291">
        <v>13158</v>
      </c>
      <c r="F2000" s="291">
        <v>9544</v>
      </c>
      <c r="G2000" s="291">
        <v>2720</v>
      </c>
      <c r="H2000" s="287">
        <v>0.72533819729442195</v>
      </c>
      <c r="I2000" s="211">
        <v>8.3463235294117606</v>
      </c>
      <c r="J2000" s="211">
        <v>0.82081854146954403</v>
      </c>
      <c r="K2000" s="288">
        <v>10800.330368656299</v>
      </c>
    </row>
    <row r="2001" spans="2:11" x14ac:dyDescent="0.2">
      <c r="B2001">
        <v>23</v>
      </c>
      <c r="C2001">
        <v>6004</v>
      </c>
      <c r="D2001" s="308" t="s">
        <v>2573</v>
      </c>
      <c r="E2001" s="291">
        <v>341</v>
      </c>
      <c r="F2001" s="291">
        <v>74</v>
      </c>
      <c r="G2001" s="291">
        <v>509</v>
      </c>
      <c r="H2001" s="287">
        <v>0.217008797653959</v>
      </c>
      <c r="I2001" s="211">
        <v>0.81532416502947003</v>
      </c>
      <c r="J2001" s="211">
        <v>-0.57358584848203797</v>
      </c>
      <c r="K2001" s="288">
        <v>-195.592774332375</v>
      </c>
    </row>
    <row r="2002" spans="2:11" x14ac:dyDescent="0.2">
      <c r="B2002">
        <v>23</v>
      </c>
      <c r="C2002">
        <v>6007</v>
      </c>
      <c r="D2002" s="308" t="s">
        <v>2574</v>
      </c>
      <c r="E2002" s="291">
        <v>9951</v>
      </c>
      <c r="F2002" s="291">
        <v>2350</v>
      </c>
      <c r="G2002" s="291">
        <v>4913</v>
      </c>
      <c r="H2002" s="287">
        <v>0.236157170133655</v>
      </c>
      <c r="I2002" s="211">
        <v>2.5037655200488498</v>
      </c>
      <c r="J2002" s="211">
        <v>-0.121061741868039</v>
      </c>
      <c r="K2002" s="288">
        <v>-1204.6853933288601</v>
      </c>
    </row>
    <row r="2003" spans="2:11" x14ac:dyDescent="0.2">
      <c r="B2003">
        <v>23</v>
      </c>
      <c r="C2003">
        <v>6008</v>
      </c>
      <c r="D2003" s="308" t="s">
        <v>2575</v>
      </c>
      <c r="E2003" s="291">
        <v>2077</v>
      </c>
      <c r="F2003" s="291">
        <v>376</v>
      </c>
      <c r="G2003" s="291">
        <v>2532</v>
      </c>
      <c r="H2003" s="287">
        <v>0.18103033220991799</v>
      </c>
      <c r="I2003" s="211">
        <v>0.968799368088468</v>
      </c>
      <c r="J2003" s="211">
        <v>-0.54623785978260897</v>
      </c>
      <c r="K2003" s="288">
        <v>-1134.53603476848</v>
      </c>
    </row>
    <row r="2004" spans="2:11" x14ac:dyDescent="0.2">
      <c r="B2004">
        <v>23</v>
      </c>
      <c r="C2004">
        <v>6009</v>
      </c>
      <c r="D2004" s="308" t="s">
        <v>2576</v>
      </c>
      <c r="E2004" s="291">
        <v>309</v>
      </c>
      <c r="F2004" s="291">
        <v>169</v>
      </c>
      <c r="G2004" s="291">
        <v>3180</v>
      </c>
      <c r="H2004" s="287">
        <v>0.54692556634304201</v>
      </c>
      <c r="I2004" s="211">
        <v>0.150314465408805</v>
      </c>
      <c r="J2004" s="211">
        <v>-0.190250534439491</v>
      </c>
      <c r="K2004" s="288">
        <v>-58.787415141802803</v>
      </c>
    </row>
    <row r="2005" spans="2:11" x14ac:dyDescent="0.2">
      <c r="B2005">
        <v>23</v>
      </c>
      <c r="C2005">
        <v>6010</v>
      </c>
      <c r="D2005" s="308" t="s">
        <v>2577</v>
      </c>
      <c r="E2005" s="291">
        <v>891</v>
      </c>
      <c r="F2005" s="291">
        <v>149</v>
      </c>
      <c r="G2005" s="291">
        <v>1407</v>
      </c>
      <c r="H2005" s="287">
        <v>0.16722783389450099</v>
      </c>
      <c r="I2005" s="211">
        <v>0.73916133617626201</v>
      </c>
      <c r="J2005" s="211">
        <v>-0.61703624223109599</v>
      </c>
      <c r="K2005" s="288">
        <v>-549.77929182790604</v>
      </c>
    </row>
    <row r="2006" spans="2:11" x14ac:dyDescent="0.2">
      <c r="B2006">
        <v>23</v>
      </c>
      <c r="C2006">
        <v>6011</v>
      </c>
      <c r="D2006" s="308" t="s">
        <v>2578</v>
      </c>
      <c r="E2006" s="291">
        <v>78</v>
      </c>
      <c r="F2006" s="291">
        <v>53</v>
      </c>
      <c r="G2006" s="291">
        <v>3467</v>
      </c>
      <c r="H2006" s="287">
        <v>0.67948717948717996</v>
      </c>
      <c r="I2006" s="211">
        <v>3.7784828381886397E-2</v>
      </c>
      <c r="J2006" s="211">
        <v>-3.8916990165550898E-2</v>
      </c>
      <c r="K2006" s="288">
        <v>-3.0355252329129701</v>
      </c>
    </row>
    <row r="2007" spans="2:11" x14ac:dyDescent="0.2">
      <c r="B2007">
        <v>23</v>
      </c>
      <c r="C2007">
        <v>6021</v>
      </c>
      <c r="D2007" s="308" t="s">
        <v>2579</v>
      </c>
      <c r="E2007" s="291">
        <v>3076</v>
      </c>
      <c r="F2007" s="291">
        <v>831</v>
      </c>
      <c r="G2007" s="291">
        <v>1189</v>
      </c>
      <c r="H2007" s="287">
        <v>0.27015604681404398</v>
      </c>
      <c r="I2007" s="211">
        <v>3.28595458368377</v>
      </c>
      <c r="J2007" s="211">
        <v>-0.313083327700793</v>
      </c>
      <c r="K2007" s="288">
        <v>-963.04431600763996</v>
      </c>
    </row>
    <row r="2008" spans="2:11" x14ac:dyDescent="0.2">
      <c r="B2008">
        <v>23</v>
      </c>
      <c r="C2008">
        <v>6022</v>
      </c>
      <c r="D2008" s="308" t="s">
        <v>2580</v>
      </c>
      <c r="E2008" s="291">
        <v>3721</v>
      </c>
      <c r="F2008" s="291">
        <v>1080</v>
      </c>
      <c r="G2008" s="291">
        <v>2044</v>
      </c>
      <c r="H2008" s="287">
        <v>0.29024455791453901</v>
      </c>
      <c r="I2008" s="211">
        <v>2.3488258317025399</v>
      </c>
      <c r="J2008" s="211">
        <v>-0.29773659121268498</v>
      </c>
      <c r="K2008" s="288">
        <v>-1107.8778559023999</v>
      </c>
    </row>
    <row r="2009" spans="2:11" x14ac:dyDescent="0.2">
      <c r="B2009">
        <v>23</v>
      </c>
      <c r="C2009">
        <v>6023</v>
      </c>
      <c r="D2009" s="308" t="s">
        <v>2581</v>
      </c>
      <c r="E2009" s="291">
        <v>8674</v>
      </c>
      <c r="F2009" s="291">
        <v>3597</v>
      </c>
      <c r="G2009" s="291">
        <v>4649</v>
      </c>
      <c r="H2009" s="287">
        <v>0.41468757205441498</v>
      </c>
      <c r="I2009" s="211">
        <v>2.6394923639492398</v>
      </c>
      <c r="J2009" s="211">
        <v>5.6325260792809299E-2</v>
      </c>
      <c r="K2009" s="288">
        <v>488.56531211682801</v>
      </c>
    </row>
    <row r="2010" spans="2:11" x14ac:dyDescent="0.2">
      <c r="B2010">
        <v>23</v>
      </c>
      <c r="C2010">
        <v>6024</v>
      </c>
      <c r="D2010" s="308" t="s">
        <v>2582</v>
      </c>
      <c r="E2010" s="291">
        <v>6476</v>
      </c>
      <c r="F2010" s="291">
        <v>2267</v>
      </c>
      <c r="G2010" s="291">
        <v>5332</v>
      </c>
      <c r="H2010" s="287">
        <v>0.350061766522545</v>
      </c>
      <c r="I2010" s="211">
        <v>1.6397224306076501</v>
      </c>
      <c r="J2010" s="211">
        <v>-0.14421794489569201</v>
      </c>
      <c r="K2010" s="288">
        <v>-933.95541114450305</v>
      </c>
    </row>
    <row r="2011" spans="2:11" x14ac:dyDescent="0.2">
      <c r="B2011">
        <v>23</v>
      </c>
      <c r="C2011">
        <v>6025</v>
      </c>
      <c r="D2011" s="308" t="s">
        <v>2583</v>
      </c>
      <c r="E2011" s="291">
        <v>6135</v>
      </c>
      <c r="F2011" s="291">
        <v>1417</v>
      </c>
      <c r="G2011" s="291">
        <v>892</v>
      </c>
      <c r="H2011" s="287">
        <v>0.23096984515077401</v>
      </c>
      <c r="I2011" s="211">
        <v>8.4663677130044803</v>
      </c>
      <c r="J2011" s="211">
        <v>-5.5750264628687901E-2</v>
      </c>
      <c r="K2011" s="288">
        <v>-342.027873497001</v>
      </c>
    </row>
    <row r="2012" spans="2:11" x14ac:dyDescent="0.2">
      <c r="B2012">
        <v>23</v>
      </c>
      <c r="C2012">
        <v>6031</v>
      </c>
      <c r="D2012" s="308" t="s">
        <v>2584</v>
      </c>
      <c r="E2012" s="291">
        <v>8073</v>
      </c>
      <c r="F2012" s="291">
        <v>5484</v>
      </c>
      <c r="G2012" s="291">
        <v>8415</v>
      </c>
      <c r="H2012" s="287">
        <v>0.67930137495354903</v>
      </c>
      <c r="I2012" s="211">
        <v>1.6110516934046299</v>
      </c>
      <c r="J2012" s="211">
        <v>0.32373843938557001</v>
      </c>
      <c r="K2012" s="288">
        <v>2613.5404211597101</v>
      </c>
    </row>
    <row r="2013" spans="2:11" x14ac:dyDescent="0.2">
      <c r="B2013">
        <v>23</v>
      </c>
      <c r="C2013">
        <v>6032</v>
      </c>
      <c r="D2013" s="308" t="s">
        <v>2585</v>
      </c>
      <c r="E2013" s="291">
        <v>182</v>
      </c>
      <c r="F2013" s="291">
        <v>148</v>
      </c>
      <c r="G2013" s="291">
        <v>3172</v>
      </c>
      <c r="H2013" s="287">
        <v>0.81318681318681296</v>
      </c>
      <c r="I2013" s="211">
        <v>0.104035308953342</v>
      </c>
      <c r="J2013" s="211">
        <v>0.13314974980469699</v>
      </c>
      <c r="K2013" s="288">
        <v>24.233254464454799</v>
      </c>
    </row>
    <row r="2014" spans="2:11" x14ac:dyDescent="0.2">
      <c r="B2014">
        <v>23</v>
      </c>
      <c r="C2014">
        <v>6033</v>
      </c>
      <c r="D2014" s="308" t="s">
        <v>2586</v>
      </c>
      <c r="E2014" s="291">
        <v>755</v>
      </c>
      <c r="F2014" s="291">
        <v>200</v>
      </c>
      <c r="G2014" s="291">
        <v>3436</v>
      </c>
      <c r="H2014" s="287">
        <v>0.26490066225165598</v>
      </c>
      <c r="I2014" s="211">
        <v>0.27793946449359702</v>
      </c>
      <c r="J2014" s="211">
        <v>-0.51802783713253697</v>
      </c>
      <c r="K2014" s="288">
        <v>-391.11101703506603</v>
      </c>
    </row>
    <row r="2015" spans="2:11" x14ac:dyDescent="0.2">
      <c r="B2015">
        <v>23</v>
      </c>
      <c r="C2015">
        <v>6034</v>
      </c>
      <c r="D2015" s="308" t="s">
        <v>2587</v>
      </c>
      <c r="E2015" s="291">
        <v>3220</v>
      </c>
      <c r="F2015" s="291">
        <v>1287</v>
      </c>
      <c r="G2015" s="291">
        <v>7357</v>
      </c>
      <c r="H2015" s="287">
        <v>0.399689440993789</v>
      </c>
      <c r="I2015" s="211">
        <v>0.612613837161887</v>
      </c>
      <c r="J2015" s="211">
        <v>-0.24460540960139199</v>
      </c>
      <c r="K2015" s="288">
        <v>-787.62941891648097</v>
      </c>
    </row>
    <row r="2016" spans="2:11" x14ac:dyDescent="0.2">
      <c r="B2016">
        <v>23</v>
      </c>
      <c r="C2016">
        <v>6035</v>
      </c>
      <c r="D2016" s="308" t="s">
        <v>2588</v>
      </c>
      <c r="E2016" s="291">
        <v>1011</v>
      </c>
      <c r="F2016" s="291">
        <v>476</v>
      </c>
      <c r="G2016" s="291">
        <v>1520</v>
      </c>
      <c r="H2016" s="287">
        <v>0.47082096933729001</v>
      </c>
      <c r="I2016" s="211">
        <v>0.97828947368421004</v>
      </c>
      <c r="J2016" s="211">
        <v>-0.2275247375852</v>
      </c>
      <c r="K2016" s="288">
        <v>-230.027509698637</v>
      </c>
    </row>
    <row r="2017" spans="2:11" x14ac:dyDescent="0.2">
      <c r="B2017">
        <v>23</v>
      </c>
      <c r="C2017">
        <v>6036</v>
      </c>
      <c r="D2017" s="308" t="s">
        <v>2589</v>
      </c>
      <c r="E2017" s="291">
        <v>1942</v>
      </c>
      <c r="F2017" s="291">
        <v>551</v>
      </c>
      <c r="G2017" s="291">
        <v>1559</v>
      </c>
      <c r="H2017" s="287">
        <v>0.28372811534500503</v>
      </c>
      <c r="I2017" s="211">
        <v>1.59910198845414</v>
      </c>
      <c r="J2017" s="211">
        <v>-0.40114000716009501</v>
      </c>
      <c r="K2017" s="288">
        <v>-779.01389390490397</v>
      </c>
    </row>
    <row r="2018" spans="2:11" x14ac:dyDescent="0.2">
      <c r="B2018">
        <v>23</v>
      </c>
      <c r="C2018">
        <v>6052</v>
      </c>
      <c r="D2018" s="308" t="s">
        <v>2590</v>
      </c>
      <c r="E2018" s="291">
        <v>395</v>
      </c>
      <c r="F2018" s="291">
        <v>209</v>
      </c>
      <c r="G2018" s="291">
        <v>948</v>
      </c>
      <c r="H2018" s="287">
        <v>0.52911392405063296</v>
      </c>
      <c r="I2018" s="211">
        <v>0.63713080168776404</v>
      </c>
      <c r="J2018" s="211">
        <v>-0.191274475072161</v>
      </c>
      <c r="K2018" s="288">
        <v>-75.553417653503701</v>
      </c>
    </row>
    <row r="2019" spans="2:11" x14ac:dyDescent="0.2">
      <c r="B2019">
        <v>23</v>
      </c>
      <c r="C2019">
        <v>6054</v>
      </c>
      <c r="D2019" s="308" t="s">
        <v>2591</v>
      </c>
      <c r="E2019" s="291">
        <v>144</v>
      </c>
      <c r="F2019" s="291">
        <v>69</v>
      </c>
      <c r="G2019" s="291">
        <v>2709</v>
      </c>
      <c r="H2019" s="287">
        <v>0.47916666666666702</v>
      </c>
      <c r="I2019" s="211">
        <v>7.8626799557032098E-2</v>
      </c>
      <c r="J2019" s="211">
        <v>-0.28313503530581802</v>
      </c>
      <c r="K2019" s="288">
        <v>-40.771445084037801</v>
      </c>
    </row>
    <row r="2020" spans="2:11" x14ac:dyDescent="0.2">
      <c r="B2020">
        <v>23</v>
      </c>
      <c r="C2020">
        <v>6056</v>
      </c>
      <c r="D2020" s="308" t="s">
        <v>2592</v>
      </c>
      <c r="E2020" s="291">
        <v>509</v>
      </c>
      <c r="F2020" s="291">
        <v>238</v>
      </c>
      <c r="G2020" s="291">
        <v>2566</v>
      </c>
      <c r="H2020" s="287">
        <v>0.46758349705304503</v>
      </c>
      <c r="I2020" s="211">
        <v>0.29111457521434098</v>
      </c>
      <c r="J2020" s="211">
        <v>-0.27578936751913302</v>
      </c>
      <c r="K2020" s="288">
        <v>-140.376788067239</v>
      </c>
    </row>
    <row r="2021" spans="2:11" x14ac:dyDescent="0.2">
      <c r="B2021">
        <v>23</v>
      </c>
      <c r="C2021">
        <v>6057</v>
      </c>
      <c r="D2021" s="308" t="s">
        <v>2593</v>
      </c>
      <c r="E2021" s="291">
        <v>901</v>
      </c>
      <c r="F2021" s="291">
        <v>746</v>
      </c>
      <c r="G2021" s="291">
        <v>862</v>
      </c>
      <c r="H2021" s="287">
        <v>0.82796892341842399</v>
      </c>
      <c r="I2021" s="211">
        <v>1.91067285382831</v>
      </c>
      <c r="J2021" s="211">
        <v>0.24485535959451099</v>
      </c>
      <c r="K2021" s="288">
        <v>220.61467899465501</v>
      </c>
    </row>
    <row r="2022" spans="2:11" x14ac:dyDescent="0.2">
      <c r="B2022">
        <v>23</v>
      </c>
      <c r="C2022">
        <v>6058</v>
      </c>
      <c r="D2022" s="308" t="s">
        <v>2594</v>
      </c>
      <c r="E2022" s="291">
        <v>321</v>
      </c>
      <c r="F2022" s="291">
        <v>235</v>
      </c>
      <c r="G2022" s="291">
        <v>860</v>
      </c>
      <c r="H2022" s="287">
        <v>0.73208722741432997</v>
      </c>
      <c r="I2022" s="211">
        <v>0.64651162790697703</v>
      </c>
      <c r="J2022" s="211">
        <v>5.7757526278471603E-2</v>
      </c>
      <c r="K2022" s="288">
        <v>18.5401659353894</v>
      </c>
    </row>
    <row r="2023" spans="2:11" x14ac:dyDescent="0.2">
      <c r="B2023">
        <v>23</v>
      </c>
      <c r="C2023">
        <v>6061</v>
      </c>
      <c r="D2023" s="308" t="s">
        <v>2595</v>
      </c>
      <c r="E2023" s="291">
        <v>295</v>
      </c>
      <c r="F2023" s="291">
        <v>94</v>
      </c>
      <c r="G2023" s="291">
        <v>448</v>
      </c>
      <c r="H2023" s="287">
        <v>0.31864406779660998</v>
      </c>
      <c r="I2023" s="211">
        <v>0.86830357142857095</v>
      </c>
      <c r="J2023" s="211">
        <v>-0.44746773657136901</v>
      </c>
      <c r="K2023" s="288">
        <v>-132.00298228855399</v>
      </c>
    </row>
    <row r="2024" spans="2:11" x14ac:dyDescent="0.2">
      <c r="B2024">
        <v>23</v>
      </c>
      <c r="C2024">
        <v>6076</v>
      </c>
      <c r="D2024" s="308" t="s">
        <v>2596</v>
      </c>
      <c r="E2024" s="291">
        <v>650</v>
      </c>
      <c r="F2024" s="291">
        <v>383</v>
      </c>
      <c r="G2024" s="291">
        <v>5612</v>
      </c>
      <c r="H2024" s="287">
        <v>0.589230769230769</v>
      </c>
      <c r="I2024" s="211">
        <v>0.184069850320741</v>
      </c>
      <c r="J2024" s="211">
        <v>-0.12356644248583699</v>
      </c>
      <c r="K2024" s="288">
        <v>-80.318187615794002</v>
      </c>
    </row>
    <row r="2025" spans="2:11" x14ac:dyDescent="0.2">
      <c r="B2025">
        <v>23</v>
      </c>
      <c r="C2025">
        <v>6077</v>
      </c>
      <c r="D2025" s="308" t="s">
        <v>2597</v>
      </c>
      <c r="E2025" s="291">
        <v>1206</v>
      </c>
      <c r="F2025" s="291">
        <v>616</v>
      </c>
      <c r="G2025" s="291">
        <v>6530</v>
      </c>
      <c r="H2025" s="287">
        <v>0.51077943615257004</v>
      </c>
      <c r="I2025" s="211">
        <v>0.279019908116386</v>
      </c>
      <c r="J2025" s="211">
        <v>-0.19607178456445401</v>
      </c>
      <c r="K2025" s="288">
        <v>-236.46257218473099</v>
      </c>
    </row>
    <row r="2026" spans="2:11" x14ac:dyDescent="0.2">
      <c r="B2026">
        <v>23</v>
      </c>
      <c r="C2026">
        <v>6082</v>
      </c>
      <c r="D2026" s="308" t="s">
        <v>2598</v>
      </c>
      <c r="E2026" s="291">
        <v>3935</v>
      </c>
      <c r="F2026" s="291">
        <v>1052</v>
      </c>
      <c r="G2026" s="291">
        <v>2640</v>
      </c>
      <c r="H2026" s="287">
        <v>0.26734434561626402</v>
      </c>
      <c r="I2026" s="211">
        <v>1.8890151515151501</v>
      </c>
      <c r="J2026" s="211">
        <v>-0.33471317349408097</v>
      </c>
      <c r="K2026" s="288">
        <v>-1317.0963376992099</v>
      </c>
    </row>
    <row r="2027" spans="2:11" x14ac:dyDescent="0.2">
      <c r="B2027">
        <v>23</v>
      </c>
      <c r="C2027">
        <v>6083</v>
      </c>
      <c r="D2027" s="308" t="s">
        <v>2599</v>
      </c>
      <c r="E2027" s="291">
        <v>1697</v>
      </c>
      <c r="F2027" s="291">
        <v>632</v>
      </c>
      <c r="G2027" s="291">
        <v>6697</v>
      </c>
      <c r="H2027" s="287">
        <v>0.37242192103712402</v>
      </c>
      <c r="I2027" s="211">
        <v>0.34776765715992197</v>
      </c>
      <c r="J2027" s="211">
        <v>-0.34625033183593301</v>
      </c>
      <c r="K2027" s="288">
        <v>-587.58681312557803</v>
      </c>
    </row>
    <row r="2028" spans="2:11" x14ac:dyDescent="0.2">
      <c r="B2028">
        <v>23</v>
      </c>
      <c r="C2028">
        <v>6084</v>
      </c>
      <c r="D2028" s="308" t="s">
        <v>2600</v>
      </c>
      <c r="E2028" s="291">
        <v>1377</v>
      </c>
      <c r="F2028" s="291">
        <v>427</v>
      </c>
      <c r="G2028" s="291">
        <v>4377</v>
      </c>
      <c r="H2028" s="287">
        <v>0.31009440813362399</v>
      </c>
      <c r="I2028" s="211">
        <v>0.41215444368288801</v>
      </c>
      <c r="J2028" s="211">
        <v>-0.43336221649271101</v>
      </c>
      <c r="K2028" s="288">
        <v>-596.73977211046201</v>
      </c>
    </row>
    <row r="2029" spans="2:11" x14ac:dyDescent="0.2">
      <c r="B2029">
        <v>23</v>
      </c>
      <c r="C2029">
        <v>6087</v>
      </c>
      <c r="D2029" s="308" t="s">
        <v>2601</v>
      </c>
      <c r="E2029" s="291">
        <v>837</v>
      </c>
      <c r="F2029" s="291">
        <v>212</v>
      </c>
      <c r="G2029" s="291">
        <v>2955</v>
      </c>
      <c r="H2029" s="287">
        <v>0.253285543608124</v>
      </c>
      <c r="I2029" s="211">
        <v>0.35499153976311298</v>
      </c>
      <c r="J2029" s="211">
        <v>-0.52647643852413695</v>
      </c>
      <c r="K2029" s="288">
        <v>-440.66077904470302</v>
      </c>
    </row>
    <row r="2030" spans="2:11" x14ac:dyDescent="0.2">
      <c r="B2030">
        <v>23</v>
      </c>
      <c r="C2030">
        <v>6089</v>
      </c>
      <c r="D2030" s="308" t="s">
        <v>2602</v>
      </c>
      <c r="E2030" s="291">
        <v>1813</v>
      </c>
      <c r="F2030" s="291">
        <v>603</v>
      </c>
      <c r="G2030" s="291">
        <v>1214</v>
      </c>
      <c r="H2030" s="287">
        <v>0.33259790402647499</v>
      </c>
      <c r="I2030" s="211">
        <v>1.9901153212520599</v>
      </c>
      <c r="J2030" s="211">
        <v>-0.33124513723691001</v>
      </c>
      <c r="K2030" s="288">
        <v>-600.54743381051799</v>
      </c>
    </row>
    <row r="2031" spans="2:11" x14ac:dyDescent="0.2">
      <c r="B2031">
        <v>23</v>
      </c>
      <c r="C2031">
        <v>6090</v>
      </c>
      <c r="D2031" s="308" t="s">
        <v>2603</v>
      </c>
      <c r="E2031" s="291">
        <v>1056</v>
      </c>
      <c r="F2031" s="291">
        <v>186</v>
      </c>
      <c r="G2031" s="291">
        <v>3355</v>
      </c>
      <c r="H2031" s="287">
        <v>0.17613636363636401</v>
      </c>
      <c r="I2031" s="211">
        <v>0.370193740685544</v>
      </c>
      <c r="J2031" s="211">
        <v>-0.61315440724018999</v>
      </c>
      <c r="K2031" s="288">
        <v>-647.49105404564102</v>
      </c>
    </row>
    <row r="2032" spans="2:11" x14ac:dyDescent="0.2">
      <c r="B2032">
        <v>23</v>
      </c>
      <c r="C2032">
        <v>6101</v>
      </c>
      <c r="D2032" s="308" t="s">
        <v>2604</v>
      </c>
      <c r="E2032" s="291">
        <v>764</v>
      </c>
      <c r="F2032" s="291">
        <v>217</v>
      </c>
      <c r="G2032" s="291">
        <v>413</v>
      </c>
      <c r="H2032" s="287">
        <v>0.28403141361256501</v>
      </c>
      <c r="I2032" s="211">
        <v>2.3753026634382599</v>
      </c>
      <c r="J2032" s="211">
        <v>-0.41745508557946298</v>
      </c>
      <c r="K2032" s="288">
        <v>-318.93568538271001</v>
      </c>
    </row>
    <row r="2033" spans="2:11" x14ac:dyDescent="0.2">
      <c r="B2033">
        <v>23</v>
      </c>
      <c r="C2033">
        <v>6102</v>
      </c>
      <c r="D2033" s="308" t="s">
        <v>2605</v>
      </c>
      <c r="E2033" s="291">
        <v>241</v>
      </c>
      <c r="F2033" s="291">
        <v>111</v>
      </c>
      <c r="G2033" s="291">
        <v>1386</v>
      </c>
      <c r="H2033" s="287">
        <v>0.46058091286307101</v>
      </c>
      <c r="I2033" s="211">
        <v>0.25396825396825401</v>
      </c>
      <c r="J2033" s="211">
        <v>-0.29606214774874101</v>
      </c>
      <c r="K2033" s="288">
        <v>-71.350977607446595</v>
      </c>
    </row>
    <row r="2034" spans="2:11" x14ac:dyDescent="0.2">
      <c r="B2034">
        <v>23</v>
      </c>
      <c r="C2034">
        <v>6104</v>
      </c>
      <c r="D2034" s="308" t="s">
        <v>2606</v>
      </c>
      <c r="E2034" s="291">
        <v>186</v>
      </c>
      <c r="F2034" s="291">
        <v>55</v>
      </c>
      <c r="G2034" s="291">
        <v>1821</v>
      </c>
      <c r="H2034" s="287">
        <v>0.29569892473118298</v>
      </c>
      <c r="I2034" s="211">
        <v>0.13234486545853899</v>
      </c>
      <c r="J2034" s="211">
        <v>-0.50691697127368396</v>
      </c>
      <c r="K2034" s="288">
        <v>-94.286556656905105</v>
      </c>
    </row>
    <row r="2035" spans="2:11" x14ac:dyDescent="0.2">
      <c r="B2035">
        <v>23</v>
      </c>
      <c r="C2035">
        <v>6109</v>
      </c>
      <c r="D2035" s="308" t="s">
        <v>2607</v>
      </c>
      <c r="E2035" s="291">
        <v>110</v>
      </c>
      <c r="F2035" s="291">
        <v>29</v>
      </c>
      <c r="G2035" s="291">
        <v>393</v>
      </c>
      <c r="H2035" s="287">
        <v>0.263636363636364</v>
      </c>
      <c r="I2035" s="211">
        <v>0.353689567430025</v>
      </c>
      <c r="J2035" s="211">
        <v>-0.54147586048632002</v>
      </c>
      <c r="K2035" s="288">
        <v>-59.562344653495202</v>
      </c>
    </row>
    <row r="2036" spans="2:11" x14ac:dyDescent="0.2">
      <c r="B2036">
        <v>23</v>
      </c>
      <c r="C2036">
        <v>6110</v>
      </c>
      <c r="D2036" s="308" t="s">
        <v>2608</v>
      </c>
      <c r="E2036" s="291">
        <v>3947</v>
      </c>
      <c r="F2036" s="291">
        <v>1571</v>
      </c>
      <c r="G2036" s="291">
        <v>4028</v>
      </c>
      <c r="H2036" s="287">
        <v>0.39802381555611899</v>
      </c>
      <c r="I2036" s="211">
        <v>1.3699106256206599</v>
      </c>
      <c r="J2036" s="211">
        <v>-0.19126098045383599</v>
      </c>
      <c r="K2036" s="288">
        <v>-754.90708985128902</v>
      </c>
    </row>
    <row r="2037" spans="2:11" x14ac:dyDescent="0.2">
      <c r="B2037">
        <v>23</v>
      </c>
      <c r="C2037">
        <v>6111</v>
      </c>
      <c r="D2037" s="308" t="s">
        <v>2609</v>
      </c>
      <c r="E2037" s="291">
        <v>1433</v>
      </c>
      <c r="F2037" s="291">
        <v>1066</v>
      </c>
      <c r="G2037" s="291">
        <v>1648</v>
      </c>
      <c r="H2037" s="287">
        <v>0.74389392882065597</v>
      </c>
      <c r="I2037" s="211">
        <v>1.5163834951456301</v>
      </c>
      <c r="J2037" s="211">
        <v>0.146614350376573</v>
      </c>
      <c r="K2037" s="288">
        <v>210.098364089629</v>
      </c>
    </row>
    <row r="2038" spans="2:11" x14ac:dyDescent="0.2">
      <c r="B2038">
        <v>23</v>
      </c>
      <c r="C2038">
        <v>6112</v>
      </c>
      <c r="D2038" s="308" t="s">
        <v>2610</v>
      </c>
      <c r="E2038" s="291">
        <v>123</v>
      </c>
      <c r="F2038" s="291">
        <v>25</v>
      </c>
      <c r="G2038" s="291">
        <v>2029</v>
      </c>
      <c r="H2038" s="287">
        <v>0.203252032520325</v>
      </c>
      <c r="I2038" s="211">
        <v>7.2942336126170501E-2</v>
      </c>
      <c r="J2038" s="211">
        <v>-0.62604835579281604</v>
      </c>
      <c r="K2038" s="288">
        <v>-77.003947762516404</v>
      </c>
    </row>
    <row r="2039" spans="2:11" x14ac:dyDescent="0.2">
      <c r="B2039">
        <v>23</v>
      </c>
      <c r="C2039">
        <v>6113</v>
      </c>
      <c r="D2039" s="308" t="s">
        <v>2611</v>
      </c>
      <c r="E2039" s="291">
        <v>1470</v>
      </c>
      <c r="F2039" s="291">
        <v>867</v>
      </c>
      <c r="G2039" s="291">
        <v>928</v>
      </c>
      <c r="H2039" s="287">
        <v>0.58979591836734702</v>
      </c>
      <c r="I2039" s="211">
        <v>2.5183189655172402</v>
      </c>
      <c r="J2039" s="211">
        <v>-6.36880876511744E-3</v>
      </c>
      <c r="K2039" s="288">
        <v>-9.3621488847226395</v>
      </c>
    </row>
    <row r="2040" spans="2:11" x14ac:dyDescent="0.2">
      <c r="B2040">
        <v>23</v>
      </c>
      <c r="C2040">
        <v>6116</v>
      </c>
      <c r="D2040" s="308" t="s">
        <v>2612</v>
      </c>
      <c r="E2040" s="291">
        <v>619</v>
      </c>
      <c r="F2040" s="291">
        <v>189</v>
      </c>
      <c r="G2040" s="291">
        <v>895</v>
      </c>
      <c r="H2040" s="287">
        <v>0.30533117932148601</v>
      </c>
      <c r="I2040" s="211">
        <v>0.90279329608938597</v>
      </c>
      <c r="J2040" s="211">
        <v>-0.45032635791570802</v>
      </c>
      <c r="K2040" s="288">
        <v>-278.752015549823</v>
      </c>
    </row>
    <row r="2041" spans="2:11" x14ac:dyDescent="0.2">
      <c r="B2041">
        <v>23</v>
      </c>
      <c r="C2041">
        <v>6117</v>
      </c>
      <c r="D2041" s="308" t="s">
        <v>2613</v>
      </c>
      <c r="E2041" s="291">
        <v>421</v>
      </c>
      <c r="F2041" s="291">
        <v>86</v>
      </c>
      <c r="G2041" s="291">
        <v>706</v>
      </c>
      <c r="H2041" s="287">
        <v>0.20427553444180499</v>
      </c>
      <c r="I2041" s="211">
        <v>0.71813031161473095</v>
      </c>
      <c r="J2041" s="211">
        <v>-0.58985383180629902</v>
      </c>
      <c r="K2041" s="288">
        <v>-248.328463190452</v>
      </c>
    </row>
    <row r="2042" spans="2:11" x14ac:dyDescent="0.2">
      <c r="B2042">
        <v>23</v>
      </c>
      <c r="C2042">
        <v>6118</v>
      </c>
      <c r="D2042" s="308" t="s">
        <v>2614</v>
      </c>
      <c r="E2042" s="291">
        <v>1965</v>
      </c>
      <c r="F2042" s="291">
        <v>691</v>
      </c>
      <c r="G2042" s="291">
        <v>1665</v>
      </c>
      <c r="H2042" s="287">
        <v>0.35165394402035599</v>
      </c>
      <c r="I2042" s="211">
        <v>1.5951951951951999</v>
      </c>
      <c r="J2042" s="211">
        <v>-0.31623247782709502</v>
      </c>
      <c r="K2042" s="288">
        <v>-621.39681893024101</v>
      </c>
    </row>
    <row r="2043" spans="2:11" x14ac:dyDescent="0.2">
      <c r="B2043">
        <v>23</v>
      </c>
      <c r="C2043">
        <v>6119</v>
      </c>
      <c r="D2043" s="308" t="s">
        <v>2615</v>
      </c>
      <c r="E2043" s="291">
        <v>1108</v>
      </c>
      <c r="F2043" s="291">
        <v>532</v>
      </c>
      <c r="G2043" s="291">
        <v>1258</v>
      </c>
      <c r="H2043" s="287">
        <v>0.48014440433213001</v>
      </c>
      <c r="I2043" s="211">
        <v>1.30365659777424</v>
      </c>
      <c r="J2043" s="211">
        <v>-0.20039406661214801</v>
      </c>
      <c r="K2043" s="288">
        <v>-222.03662580625999</v>
      </c>
    </row>
    <row r="2044" spans="2:11" x14ac:dyDescent="0.2">
      <c r="B2044">
        <v>23</v>
      </c>
      <c r="C2044">
        <v>6131</v>
      </c>
      <c r="D2044" s="308" t="s">
        <v>2616</v>
      </c>
      <c r="E2044" s="291">
        <v>880</v>
      </c>
      <c r="F2044" s="291">
        <v>103</v>
      </c>
      <c r="G2044" s="291">
        <v>1070</v>
      </c>
      <c r="H2044" s="287">
        <v>0.11704545454545499</v>
      </c>
      <c r="I2044" s="211">
        <v>0.91869158878504698</v>
      </c>
      <c r="J2044" s="211">
        <v>-0.67309055382664196</v>
      </c>
      <c r="K2044" s="288">
        <v>-592.319687367445</v>
      </c>
    </row>
    <row r="2045" spans="2:11" x14ac:dyDescent="0.2">
      <c r="B2045">
        <v>23</v>
      </c>
      <c r="C2045">
        <v>6132</v>
      </c>
      <c r="D2045" s="308" t="s">
        <v>2617</v>
      </c>
      <c r="E2045" s="291">
        <v>1734</v>
      </c>
      <c r="F2045" s="291">
        <v>672</v>
      </c>
      <c r="G2045" s="291">
        <v>739</v>
      </c>
      <c r="H2045" s="287">
        <v>0.38754325259515598</v>
      </c>
      <c r="I2045" s="211">
        <v>3.25575101488498</v>
      </c>
      <c r="J2045" s="211">
        <v>-0.220000402198785</v>
      </c>
      <c r="K2045" s="288">
        <v>-381.48069741269302</v>
      </c>
    </row>
    <row r="2046" spans="2:11" x14ac:dyDescent="0.2">
      <c r="B2046">
        <v>23</v>
      </c>
      <c r="C2046">
        <v>6133</v>
      </c>
      <c r="D2046" s="308" t="s">
        <v>2618</v>
      </c>
      <c r="E2046" s="291">
        <v>8622</v>
      </c>
      <c r="F2046" s="291">
        <v>2360</v>
      </c>
      <c r="G2046" s="291">
        <v>2457</v>
      </c>
      <c r="H2046" s="287">
        <v>0.27371839480399002</v>
      </c>
      <c r="I2046" s="211">
        <v>4.4696784696784704</v>
      </c>
      <c r="J2046" s="211">
        <v>-5.3570867952981299E-2</v>
      </c>
      <c r="K2046" s="288">
        <v>-461.88802349060501</v>
      </c>
    </row>
    <row r="2047" spans="2:11" x14ac:dyDescent="0.2">
      <c r="B2047">
        <v>23</v>
      </c>
      <c r="C2047">
        <v>6134</v>
      </c>
      <c r="D2047" s="308" t="s">
        <v>2619</v>
      </c>
      <c r="E2047" s="291">
        <v>830</v>
      </c>
      <c r="F2047" s="291">
        <v>243</v>
      </c>
      <c r="G2047" s="291">
        <v>1162</v>
      </c>
      <c r="H2047" s="287">
        <v>0.292771084337349</v>
      </c>
      <c r="I2047" s="211">
        <v>0.923407917383821</v>
      </c>
      <c r="J2047" s="211">
        <v>-0.45707605059096001</v>
      </c>
      <c r="K2047" s="288">
        <v>-379.373121990497</v>
      </c>
    </row>
    <row r="2048" spans="2:11" x14ac:dyDescent="0.2">
      <c r="B2048">
        <v>23</v>
      </c>
      <c r="C2048">
        <v>6135</v>
      </c>
      <c r="D2048" s="308" t="s">
        <v>2620</v>
      </c>
      <c r="E2048" s="291">
        <v>3135</v>
      </c>
      <c r="F2048" s="291">
        <v>1480</v>
      </c>
      <c r="G2048" s="291">
        <v>1703</v>
      </c>
      <c r="H2048" s="287">
        <v>0.472089314194577</v>
      </c>
      <c r="I2048" s="211">
        <v>2.7099236641221398</v>
      </c>
      <c r="J2048" s="211">
        <v>-8.1617109436763494E-2</v>
      </c>
      <c r="K2048" s="288">
        <v>-255.86963808425301</v>
      </c>
    </row>
    <row r="2049" spans="2:11" x14ac:dyDescent="0.2">
      <c r="B2049">
        <v>23</v>
      </c>
      <c r="C2049">
        <v>6136</v>
      </c>
      <c r="D2049" s="308" t="s">
        <v>2621</v>
      </c>
      <c r="E2049" s="291">
        <v>17998</v>
      </c>
      <c r="F2049" s="291">
        <v>12878</v>
      </c>
      <c r="G2049" s="291">
        <v>2341</v>
      </c>
      <c r="H2049" s="287">
        <v>0.71552394710523404</v>
      </c>
      <c r="I2049" s="211">
        <v>13.189235369500199</v>
      </c>
      <c r="J2049" s="211">
        <v>1.17028553543906</v>
      </c>
      <c r="K2049" s="288">
        <v>21062.7990668323</v>
      </c>
    </row>
    <row r="2050" spans="2:11" x14ac:dyDescent="0.2">
      <c r="B2050">
        <v>23</v>
      </c>
      <c r="C2050">
        <v>6137</v>
      </c>
      <c r="D2050" s="308" t="s">
        <v>2622</v>
      </c>
      <c r="E2050" s="291">
        <v>2305</v>
      </c>
      <c r="F2050" s="291">
        <v>536</v>
      </c>
      <c r="G2050" s="291">
        <v>3076</v>
      </c>
      <c r="H2050" s="287">
        <v>0.23253796095444701</v>
      </c>
      <c r="I2050" s="211">
        <v>0.92360208062418703</v>
      </c>
      <c r="J2050" s="211">
        <v>-0.47534872606973</v>
      </c>
      <c r="K2050" s="288">
        <v>-1095.67881359073</v>
      </c>
    </row>
    <row r="2051" spans="2:11" x14ac:dyDescent="0.2">
      <c r="B2051">
        <v>23</v>
      </c>
      <c r="C2051">
        <v>6139</v>
      </c>
      <c r="D2051" s="308" t="s">
        <v>2623</v>
      </c>
      <c r="E2051" s="291">
        <v>3035</v>
      </c>
      <c r="F2051" s="291">
        <v>1155</v>
      </c>
      <c r="G2051" s="291">
        <v>1900</v>
      </c>
      <c r="H2051" s="287">
        <v>0.38056013179571702</v>
      </c>
      <c r="I2051" s="211">
        <v>2.2052631578947399</v>
      </c>
      <c r="J2051" s="211">
        <v>-0.21727037954464401</v>
      </c>
      <c r="K2051" s="288">
        <v>-659.41560191799397</v>
      </c>
    </row>
    <row r="2052" spans="2:11" x14ac:dyDescent="0.2">
      <c r="B2052">
        <v>23</v>
      </c>
      <c r="C2052">
        <v>6140</v>
      </c>
      <c r="D2052" s="308" t="s">
        <v>2624</v>
      </c>
      <c r="E2052" s="291">
        <v>2541</v>
      </c>
      <c r="F2052" s="291">
        <v>686</v>
      </c>
      <c r="G2052" s="291">
        <v>908</v>
      </c>
      <c r="H2052" s="287">
        <v>0.269972451790634</v>
      </c>
      <c r="I2052" s="211">
        <v>3.5539647577092501</v>
      </c>
      <c r="J2052" s="211">
        <v>-0.32397449226345698</v>
      </c>
      <c r="K2052" s="288">
        <v>-823.21918484144305</v>
      </c>
    </row>
    <row r="2053" spans="2:11" x14ac:dyDescent="0.2">
      <c r="B2053">
        <v>23</v>
      </c>
      <c r="C2053">
        <v>6141</v>
      </c>
      <c r="D2053" s="308" t="s">
        <v>2625</v>
      </c>
      <c r="E2053" s="291">
        <v>5645</v>
      </c>
      <c r="F2053" s="291">
        <v>1810</v>
      </c>
      <c r="G2053" s="291">
        <v>2167</v>
      </c>
      <c r="H2053" s="287">
        <v>0.32063773250664301</v>
      </c>
      <c r="I2053" s="211">
        <v>3.4402399630825999</v>
      </c>
      <c r="J2053" s="211">
        <v>-0.14673897185259099</v>
      </c>
      <c r="K2053" s="288">
        <v>-828.34149610787495</v>
      </c>
    </row>
    <row r="2054" spans="2:11" x14ac:dyDescent="0.2">
      <c r="B2054">
        <v>23</v>
      </c>
      <c r="C2054">
        <v>6142</v>
      </c>
      <c r="D2054" s="308" t="s">
        <v>2626</v>
      </c>
      <c r="E2054" s="291">
        <v>174</v>
      </c>
      <c r="F2054" s="291">
        <v>73</v>
      </c>
      <c r="G2054" s="291">
        <v>1784</v>
      </c>
      <c r="H2054" s="287">
        <v>0.41954022988505701</v>
      </c>
      <c r="I2054" s="211">
        <v>0.13845291479820601</v>
      </c>
      <c r="J2054" s="211">
        <v>-0.35369292596744101</v>
      </c>
      <c r="K2054" s="288">
        <v>-61.542569118334796</v>
      </c>
    </row>
    <row r="2055" spans="2:11" x14ac:dyDescent="0.2">
      <c r="B2055">
        <v>23</v>
      </c>
      <c r="C2055">
        <v>6151</v>
      </c>
      <c r="D2055" s="308" t="s">
        <v>2627</v>
      </c>
      <c r="E2055" s="291">
        <v>1324</v>
      </c>
      <c r="F2055" s="291">
        <v>578</v>
      </c>
      <c r="G2055" s="291">
        <v>2754</v>
      </c>
      <c r="H2055" s="287">
        <v>0.436555891238671</v>
      </c>
      <c r="I2055" s="211">
        <v>0.69063180827886705</v>
      </c>
      <c r="J2055" s="211">
        <v>-0.26852047870469697</v>
      </c>
      <c r="K2055" s="288">
        <v>-355.52111380501901</v>
      </c>
    </row>
    <row r="2056" spans="2:11" x14ac:dyDescent="0.2">
      <c r="B2056">
        <v>23</v>
      </c>
      <c r="C2056">
        <v>6152</v>
      </c>
      <c r="D2056" s="308" t="s">
        <v>2628</v>
      </c>
      <c r="E2056" s="291">
        <v>8863</v>
      </c>
      <c r="F2056" s="291">
        <v>2941</v>
      </c>
      <c r="G2056" s="291">
        <v>2686</v>
      </c>
      <c r="H2056" s="287">
        <v>0.33182895182218197</v>
      </c>
      <c r="I2056" s="211">
        <v>4.3946388682055098</v>
      </c>
      <c r="J2056" s="211">
        <v>2.49082979309544E-2</v>
      </c>
      <c r="K2056" s="288">
        <v>220.76224456204901</v>
      </c>
    </row>
    <row r="2057" spans="2:11" x14ac:dyDescent="0.2">
      <c r="B2057">
        <v>23</v>
      </c>
      <c r="C2057">
        <v>6153</v>
      </c>
      <c r="D2057" s="308" t="s">
        <v>2629</v>
      </c>
      <c r="E2057" s="291">
        <v>17573</v>
      </c>
      <c r="F2057" s="291">
        <v>11217</v>
      </c>
      <c r="G2057" s="291">
        <v>2633</v>
      </c>
      <c r="H2057" s="287">
        <v>0.63830876913446799</v>
      </c>
      <c r="I2057" s="211">
        <v>10.9342954804406</v>
      </c>
      <c r="J2057" s="211">
        <v>0.97609228775001999</v>
      </c>
      <c r="K2057" s="288">
        <v>17152.8697726311</v>
      </c>
    </row>
    <row r="2058" spans="2:11" x14ac:dyDescent="0.2">
      <c r="B2058">
        <v>23</v>
      </c>
      <c r="C2058">
        <v>6154</v>
      </c>
      <c r="D2058" s="308" t="s">
        <v>2630</v>
      </c>
      <c r="E2058" s="291">
        <v>3937</v>
      </c>
      <c r="F2058" s="291">
        <v>766</v>
      </c>
      <c r="G2058" s="291">
        <v>1279</v>
      </c>
      <c r="H2058" s="287">
        <v>0.19456438912877799</v>
      </c>
      <c r="I2058" s="211">
        <v>3.6770914777169699</v>
      </c>
      <c r="J2058" s="211">
        <v>-0.35958473708448901</v>
      </c>
      <c r="K2058" s="288">
        <v>-1415.6851099016301</v>
      </c>
    </row>
    <row r="2059" spans="2:11" x14ac:dyDescent="0.2">
      <c r="B2059">
        <v>23</v>
      </c>
      <c r="C2059">
        <v>6155</v>
      </c>
      <c r="D2059" s="308" t="s">
        <v>2631</v>
      </c>
      <c r="E2059" s="291">
        <v>905</v>
      </c>
      <c r="F2059" s="291">
        <v>185</v>
      </c>
      <c r="G2059" s="291">
        <v>1109</v>
      </c>
      <c r="H2059" s="287">
        <v>0.20441988950276199</v>
      </c>
      <c r="I2059" s="211">
        <v>0.98286744815148797</v>
      </c>
      <c r="J2059" s="211">
        <v>-0.56152258040229597</v>
      </c>
      <c r="K2059" s="288">
        <v>-508.17793526407797</v>
      </c>
    </row>
    <row r="2060" spans="2:11" x14ac:dyDescent="0.2">
      <c r="B2060">
        <v>23</v>
      </c>
      <c r="C2060">
        <v>6156</v>
      </c>
      <c r="D2060" s="308" t="s">
        <v>2632</v>
      </c>
      <c r="E2060" s="291">
        <v>4568</v>
      </c>
      <c r="F2060" s="291">
        <v>926</v>
      </c>
      <c r="G2060" s="291">
        <v>3538</v>
      </c>
      <c r="H2060" s="287">
        <v>0.20271453590192601</v>
      </c>
      <c r="I2060" s="211">
        <v>1.55285472018089</v>
      </c>
      <c r="J2060" s="211">
        <v>-0.40287840451614998</v>
      </c>
      <c r="K2060" s="288">
        <v>-1840.34855182977</v>
      </c>
    </row>
    <row r="2061" spans="2:11" x14ac:dyDescent="0.2">
      <c r="B2061">
        <v>23</v>
      </c>
      <c r="C2061">
        <v>6157</v>
      </c>
      <c r="D2061" s="308" t="s">
        <v>2633</v>
      </c>
      <c r="E2061" s="291">
        <v>1902</v>
      </c>
      <c r="F2061" s="291">
        <v>542</v>
      </c>
      <c r="G2061" s="291">
        <v>3106</v>
      </c>
      <c r="H2061" s="287">
        <v>0.28496319663512099</v>
      </c>
      <c r="I2061" s="211">
        <v>0.78686413393432098</v>
      </c>
      <c r="J2061" s="211">
        <v>-0.43077258166014298</v>
      </c>
      <c r="K2061" s="288">
        <v>-819.32945031759095</v>
      </c>
    </row>
    <row r="2062" spans="2:11" x14ac:dyDescent="0.2">
      <c r="B2062">
        <v>23</v>
      </c>
      <c r="C2062">
        <v>6158</v>
      </c>
      <c r="D2062" s="308" t="s">
        <v>2634</v>
      </c>
      <c r="E2062" s="291">
        <v>2594</v>
      </c>
      <c r="F2062" s="291">
        <v>852</v>
      </c>
      <c r="G2062" s="291">
        <v>1925</v>
      </c>
      <c r="H2062" s="287">
        <v>0.328450269853508</v>
      </c>
      <c r="I2062" s="211">
        <v>1.79012987012987</v>
      </c>
      <c r="J2062" s="211">
        <v>-0.31383965119618501</v>
      </c>
      <c r="K2062" s="288">
        <v>-814.10005520290304</v>
      </c>
    </row>
    <row r="2063" spans="2:11" x14ac:dyDescent="0.2">
      <c r="B2063">
        <v>23</v>
      </c>
      <c r="C2063">
        <v>6159</v>
      </c>
      <c r="D2063" s="308" t="s">
        <v>2635</v>
      </c>
      <c r="E2063" s="291">
        <v>4052</v>
      </c>
      <c r="F2063" s="291">
        <v>1706</v>
      </c>
      <c r="G2063" s="291">
        <v>2696</v>
      </c>
      <c r="H2063" s="287">
        <v>0.42102665350444202</v>
      </c>
      <c r="I2063" s="211">
        <v>2.1357566765578602</v>
      </c>
      <c r="J2063" s="211">
        <v>-0.130802644307772</v>
      </c>
      <c r="K2063" s="288">
        <v>-530.01231473509199</v>
      </c>
    </row>
    <row r="2064" spans="2:11" x14ac:dyDescent="0.2">
      <c r="B2064">
        <v>23</v>
      </c>
      <c r="C2064">
        <v>6172</v>
      </c>
      <c r="D2064" s="308" t="s">
        <v>2636</v>
      </c>
      <c r="E2064" s="291">
        <v>30</v>
      </c>
      <c r="F2064" s="291">
        <v>10</v>
      </c>
      <c r="G2064" s="291">
        <v>346</v>
      </c>
      <c r="H2064" s="287">
        <v>0.33333333333333298</v>
      </c>
      <c r="I2064" s="211">
        <v>0.115606936416185</v>
      </c>
      <c r="J2064" s="211">
        <v>-0.46685312537043</v>
      </c>
      <c r="K2064" s="288">
        <v>-14.0055937611129</v>
      </c>
    </row>
    <row r="2065" spans="2:11" x14ac:dyDescent="0.2">
      <c r="B2065">
        <v>23</v>
      </c>
      <c r="C2065">
        <v>6173</v>
      </c>
      <c r="D2065" s="308" t="s">
        <v>2637</v>
      </c>
      <c r="E2065" s="291">
        <v>932</v>
      </c>
      <c r="F2065" s="291">
        <v>320</v>
      </c>
      <c r="G2065" s="291">
        <v>483</v>
      </c>
      <c r="H2065" s="287">
        <v>0.34334763948497898</v>
      </c>
      <c r="I2065" s="211">
        <v>2.59213250517598</v>
      </c>
      <c r="J2065" s="211">
        <v>-0.32962227304413699</v>
      </c>
      <c r="K2065" s="288">
        <v>-307.20795847713498</v>
      </c>
    </row>
    <row r="2066" spans="2:11" x14ac:dyDescent="0.2">
      <c r="B2066">
        <v>23</v>
      </c>
      <c r="C2066">
        <v>6177</v>
      </c>
      <c r="D2066" s="308" t="s">
        <v>2638</v>
      </c>
      <c r="E2066" s="291">
        <v>432</v>
      </c>
      <c r="F2066" s="291">
        <v>152</v>
      </c>
      <c r="G2066" s="291">
        <v>2838</v>
      </c>
      <c r="H2066" s="287">
        <v>0.35185185185185203</v>
      </c>
      <c r="I2066" s="211">
        <v>0.20577871740662401</v>
      </c>
      <c r="J2066" s="211">
        <v>-0.425255498526319</v>
      </c>
      <c r="K2066" s="288">
        <v>-183.71037536336999</v>
      </c>
    </row>
    <row r="2067" spans="2:11" x14ac:dyDescent="0.2">
      <c r="B2067">
        <v>23</v>
      </c>
      <c r="C2067">
        <v>6181</v>
      </c>
      <c r="D2067" s="308" t="s">
        <v>2639</v>
      </c>
      <c r="E2067" s="291">
        <v>488</v>
      </c>
      <c r="F2067" s="291">
        <v>454</v>
      </c>
      <c r="G2067" s="291">
        <v>1399</v>
      </c>
      <c r="H2067" s="287">
        <v>0.93032786885245899</v>
      </c>
      <c r="I2067" s="211">
        <v>0.67333809864188698</v>
      </c>
      <c r="J2067" s="211">
        <v>0.31076997269807299</v>
      </c>
      <c r="K2067" s="288">
        <v>151.65574667665999</v>
      </c>
    </row>
    <row r="2068" spans="2:11" x14ac:dyDescent="0.2">
      <c r="B2068">
        <v>23</v>
      </c>
      <c r="C2068">
        <v>6191</v>
      </c>
      <c r="D2068" s="308" t="s">
        <v>2640</v>
      </c>
      <c r="E2068" s="291">
        <v>622</v>
      </c>
      <c r="F2068" s="291">
        <v>151</v>
      </c>
      <c r="G2068" s="291">
        <v>1040</v>
      </c>
      <c r="H2068" s="287">
        <v>0.24276527331189701</v>
      </c>
      <c r="I2068" s="211">
        <v>0.74326923076923102</v>
      </c>
      <c r="J2068" s="211">
        <v>-0.53356142531990502</v>
      </c>
      <c r="K2068" s="288">
        <v>-331.875206548981</v>
      </c>
    </row>
    <row r="2069" spans="2:11" x14ac:dyDescent="0.2">
      <c r="B2069">
        <v>23</v>
      </c>
      <c r="C2069">
        <v>6192</v>
      </c>
      <c r="D2069" s="308" t="s">
        <v>2641</v>
      </c>
      <c r="E2069" s="291">
        <v>293</v>
      </c>
      <c r="F2069" s="291">
        <v>70</v>
      </c>
      <c r="G2069" s="291">
        <v>1574</v>
      </c>
      <c r="H2069" s="287">
        <v>0.23890784982935201</v>
      </c>
      <c r="I2069" s="211">
        <v>0.23062261753494301</v>
      </c>
      <c r="J2069" s="211">
        <v>-0.56961633816192003</v>
      </c>
      <c r="K2069" s="288">
        <v>-166.897587081442</v>
      </c>
    </row>
    <row r="2070" spans="2:11" x14ac:dyDescent="0.2">
      <c r="B2070">
        <v>23</v>
      </c>
      <c r="C2070">
        <v>6193</v>
      </c>
      <c r="D2070" s="308" t="s">
        <v>2642</v>
      </c>
      <c r="E2070" s="291">
        <v>728</v>
      </c>
      <c r="F2070" s="291">
        <v>183</v>
      </c>
      <c r="G2070" s="291">
        <v>1167</v>
      </c>
      <c r="H2070" s="287">
        <v>0.25137362637362598</v>
      </c>
      <c r="I2070" s="211">
        <v>0.78063410454156001</v>
      </c>
      <c r="J2070" s="211">
        <v>-0.51748079399838498</v>
      </c>
      <c r="K2070" s="288">
        <v>-376.72601803082398</v>
      </c>
    </row>
    <row r="2071" spans="2:11" x14ac:dyDescent="0.2">
      <c r="B2071">
        <v>23</v>
      </c>
      <c r="C2071">
        <v>6194</v>
      </c>
      <c r="D2071" s="308" t="s">
        <v>2643</v>
      </c>
      <c r="E2071" s="291">
        <v>443</v>
      </c>
      <c r="F2071" s="291">
        <v>85</v>
      </c>
      <c r="G2071" s="291">
        <v>1054</v>
      </c>
      <c r="H2071" s="287">
        <v>0.191873589164786</v>
      </c>
      <c r="I2071" s="211">
        <v>0.50094876660341603</v>
      </c>
      <c r="J2071" s="211">
        <v>-0.612305182512623</v>
      </c>
      <c r="K2071" s="288">
        <v>-271.25119585309199</v>
      </c>
    </row>
    <row r="2072" spans="2:11" x14ac:dyDescent="0.2">
      <c r="B2072">
        <v>23</v>
      </c>
      <c r="C2072">
        <v>6195</v>
      </c>
      <c r="D2072" s="308" t="s">
        <v>2644</v>
      </c>
      <c r="E2072" s="291">
        <v>250</v>
      </c>
      <c r="F2072" s="291">
        <v>98</v>
      </c>
      <c r="G2072" s="291">
        <v>1053</v>
      </c>
      <c r="H2072" s="287">
        <v>0.39200000000000002</v>
      </c>
      <c r="I2072" s="211">
        <v>0.33048433048433001</v>
      </c>
      <c r="J2072" s="211">
        <v>-0.37790956635385198</v>
      </c>
      <c r="K2072" s="288">
        <v>-94.477391588463107</v>
      </c>
    </row>
    <row r="2073" spans="2:11" x14ac:dyDescent="0.2">
      <c r="B2073">
        <v>23</v>
      </c>
      <c r="C2073">
        <v>6197</v>
      </c>
      <c r="D2073" s="308" t="s">
        <v>2645</v>
      </c>
      <c r="E2073" s="291">
        <v>340</v>
      </c>
      <c r="F2073" s="291">
        <v>118</v>
      </c>
      <c r="G2073" s="291">
        <v>704</v>
      </c>
      <c r="H2073" s="287">
        <v>0.34705882352941197</v>
      </c>
      <c r="I2073" s="211">
        <v>0.65056818181818199</v>
      </c>
      <c r="J2073" s="211">
        <v>-0.41848188404100001</v>
      </c>
      <c r="K2073" s="288">
        <v>-142.28384057394001</v>
      </c>
    </row>
    <row r="2074" spans="2:11" x14ac:dyDescent="0.2">
      <c r="B2074">
        <v>23</v>
      </c>
      <c r="C2074">
        <v>6198</v>
      </c>
      <c r="D2074" s="308" t="s">
        <v>2646</v>
      </c>
      <c r="E2074" s="291">
        <v>696</v>
      </c>
      <c r="F2074" s="291">
        <v>132</v>
      </c>
      <c r="G2074" s="291">
        <v>780</v>
      </c>
      <c r="H2074" s="287">
        <v>0.18965517241379301</v>
      </c>
      <c r="I2074" s="211">
        <v>1.06153846153846</v>
      </c>
      <c r="J2074" s="211">
        <v>-0.58493393960776996</v>
      </c>
      <c r="K2074" s="288">
        <v>-407.114021967008</v>
      </c>
    </row>
    <row r="2075" spans="2:11" x14ac:dyDescent="0.2">
      <c r="B2075">
        <v>23</v>
      </c>
      <c r="C2075">
        <v>6199</v>
      </c>
      <c r="D2075" s="308" t="s">
        <v>2647</v>
      </c>
      <c r="E2075" s="291">
        <v>1936</v>
      </c>
      <c r="F2075" s="291">
        <v>1017</v>
      </c>
      <c r="G2075" s="291">
        <v>1187</v>
      </c>
      <c r="H2075" s="287">
        <v>0.52530991735537202</v>
      </c>
      <c r="I2075" s="211">
        <v>2.4877843302443101</v>
      </c>
      <c r="J2075" s="211">
        <v>-6.9585998954203698E-2</v>
      </c>
      <c r="K2075" s="288">
        <v>-134.71849397533799</v>
      </c>
    </row>
    <row r="2076" spans="2:11" x14ac:dyDescent="0.2">
      <c r="B2076">
        <v>23</v>
      </c>
      <c r="C2076">
        <v>6201</v>
      </c>
      <c r="D2076" s="308" t="s">
        <v>2648</v>
      </c>
      <c r="E2076" s="291">
        <v>412</v>
      </c>
      <c r="F2076" s="291">
        <v>151</v>
      </c>
      <c r="G2076" s="291">
        <v>1274</v>
      </c>
      <c r="H2076" s="287">
        <v>0.36650485436893199</v>
      </c>
      <c r="I2076" s="211">
        <v>0.44191522762951302</v>
      </c>
      <c r="J2076" s="211">
        <v>-0.39924672367088498</v>
      </c>
      <c r="K2076" s="288">
        <v>-164.48965015240501</v>
      </c>
    </row>
    <row r="2077" spans="2:11" x14ac:dyDescent="0.2">
      <c r="B2077">
        <v>23</v>
      </c>
      <c r="C2077">
        <v>6202</v>
      </c>
      <c r="D2077" s="308" t="s">
        <v>2649</v>
      </c>
      <c r="E2077" s="291">
        <v>570</v>
      </c>
      <c r="F2077" s="291">
        <v>237</v>
      </c>
      <c r="G2077" s="291">
        <v>674</v>
      </c>
      <c r="H2077" s="287">
        <v>0.41578947368421099</v>
      </c>
      <c r="I2077" s="211">
        <v>1.1973293768546001</v>
      </c>
      <c r="J2077" s="211">
        <v>-0.304576454466296</v>
      </c>
      <c r="K2077" s="288">
        <v>-173.60857904578901</v>
      </c>
    </row>
    <row r="2078" spans="2:11" x14ac:dyDescent="0.2">
      <c r="B2078">
        <v>23</v>
      </c>
      <c r="C2078">
        <v>6203</v>
      </c>
      <c r="D2078" s="308" t="s">
        <v>2650</v>
      </c>
      <c r="E2078" s="291">
        <v>681</v>
      </c>
      <c r="F2078" s="291">
        <v>329</v>
      </c>
      <c r="G2078" s="291">
        <v>653</v>
      </c>
      <c r="H2078" s="287">
        <v>0.48311306901615297</v>
      </c>
      <c r="I2078" s="211">
        <v>1.5467075038284801</v>
      </c>
      <c r="J2078" s="211">
        <v>-0.204163085245544</v>
      </c>
      <c r="K2078" s="288">
        <v>-139.03506105221501</v>
      </c>
    </row>
    <row r="2079" spans="2:11" x14ac:dyDescent="0.2">
      <c r="B2079">
        <v>23</v>
      </c>
      <c r="C2079">
        <v>6204</v>
      </c>
      <c r="D2079" s="308" t="s">
        <v>2651</v>
      </c>
      <c r="E2079" s="291">
        <v>1565</v>
      </c>
      <c r="F2079" s="291">
        <v>940</v>
      </c>
      <c r="G2079" s="291">
        <v>838</v>
      </c>
      <c r="H2079" s="287">
        <v>0.600638977635783</v>
      </c>
      <c r="I2079" s="211">
        <v>2.9892601431980901</v>
      </c>
      <c r="J2079" s="211">
        <v>2.7879806295091101E-2</v>
      </c>
      <c r="K2079" s="288">
        <v>43.631896851817601</v>
      </c>
    </row>
    <row r="2080" spans="2:11" x14ac:dyDescent="0.2">
      <c r="B2080">
        <v>23</v>
      </c>
      <c r="C2080">
        <v>6205</v>
      </c>
      <c r="D2080" s="308" t="s">
        <v>2652</v>
      </c>
      <c r="E2080" s="291">
        <v>442</v>
      </c>
      <c r="F2080" s="291">
        <v>546</v>
      </c>
      <c r="G2080" s="291">
        <v>981</v>
      </c>
      <c r="H2080" s="287">
        <v>1.23529411764706</v>
      </c>
      <c r="I2080" s="211">
        <v>1.0071355759429199</v>
      </c>
      <c r="J2080" s="211">
        <v>0.69909424846141799</v>
      </c>
      <c r="K2080" s="288">
        <v>308.999657819947</v>
      </c>
    </row>
    <row r="2081" spans="2:11" x14ac:dyDescent="0.2">
      <c r="B2081">
        <v>23</v>
      </c>
      <c r="C2081">
        <v>6211</v>
      </c>
      <c r="D2081" s="308" t="s">
        <v>2653</v>
      </c>
      <c r="E2081" s="291">
        <v>750</v>
      </c>
      <c r="F2081" s="291">
        <v>97</v>
      </c>
      <c r="G2081" s="291">
        <v>904</v>
      </c>
      <c r="H2081" s="287">
        <v>0.12933333333333299</v>
      </c>
      <c r="I2081" s="211">
        <v>0.93694690265486702</v>
      </c>
      <c r="J2081" s="211">
        <v>-0.66216503714197295</v>
      </c>
      <c r="K2081" s="288">
        <v>-496.62377785647902</v>
      </c>
    </row>
    <row r="2082" spans="2:11" x14ac:dyDescent="0.2">
      <c r="B2082">
        <v>23</v>
      </c>
      <c r="C2082">
        <v>6212</v>
      </c>
      <c r="D2082" s="308" t="s">
        <v>2654</v>
      </c>
      <c r="E2082" s="291">
        <v>911</v>
      </c>
      <c r="F2082" s="291">
        <v>146</v>
      </c>
      <c r="G2082" s="291">
        <v>1120</v>
      </c>
      <c r="H2082" s="287">
        <v>0.16026344676179999</v>
      </c>
      <c r="I2082" s="211">
        <v>0.94374999999999998</v>
      </c>
      <c r="J2082" s="211">
        <v>-0.61743761246998496</v>
      </c>
      <c r="K2082" s="288">
        <v>-562.48566496015701</v>
      </c>
    </row>
    <row r="2083" spans="2:11" x14ac:dyDescent="0.2">
      <c r="B2083">
        <v>23</v>
      </c>
      <c r="C2083">
        <v>6213</v>
      </c>
      <c r="D2083" s="308" t="s">
        <v>2655</v>
      </c>
      <c r="E2083" s="291">
        <v>1234</v>
      </c>
      <c r="F2083" s="291">
        <v>607</v>
      </c>
      <c r="G2083" s="291">
        <v>1560</v>
      </c>
      <c r="H2083" s="287">
        <v>0.49189627228525101</v>
      </c>
      <c r="I2083" s="211">
        <v>1.18012820512821</v>
      </c>
      <c r="J2083" s="211">
        <v>-0.185524138663613</v>
      </c>
      <c r="K2083" s="288">
        <v>-228.93678711089899</v>
      </c>
    </row>
    <row r="2084" spans="2:11" x14ac:dyDescent="0.2">
      <c r="B2084">
        <v>23</v>
      </c>
      <c r="C2084">
        <v>6214</v>
      </c>
      <c r="D2084" s="308" t="s">
        <v>2656</v>
      </c>
      <c r="E2084" s="291">
        <v>419</v>
      </c>
      <c r="F2084" s="291">
        <v>113</v>
      </c>
      <c r="G2084" s="291">
        <v>820</v>
      </c>
      <c r="H2084" s="287">
        <v>0.269689737470167</v>
      </c>
      <c r="I2084" s="211">
        <v>0.64878048780487796</v>
      </c>
      <c r="J2084" s="211">
        <v>-0.51140155801706799</v>
      </c>
      <c r="K2084" s="288">
        <v>-214.277252809152</v>
      </c>
    </row>
    <row r="2085" spans="2:11" x14ac:dyDescent="0.2">
      <c r="B2085">
        <v>23</v>
      </c>
      <c r="C2085">
        <v>6215</v>
      </c>
      <c r="D2085" s="308" t="s">
        <v>2657</v>
      </c>
      <c r="E2085" s="291">
        <v>1823</v>
      </c>
      <c r="F2085" s="291">
        <v>324</v>
      </c>
      <c r="G2085" s="291">
        <v>638</v>
      </c>
      <c r="H2085" s="287">
        <v>0.17772901810203001</v>
      </c>
      <c r="I2085" s="211">
        <v>3.36520376175549</v>
      </c>
      <c r="J2085" s="211">
        <v>-0.47260063089975501</v>
      </c>
      <c r="K2085" s="288">
        <v>-861.550950130253</v>
      </c>
    </row>
    <row r="2086" spans="2:11" x14ac:dyDescent="0.2">
      <c r="B2086">
        <v>23</v>
      </c>
      <c r="C2086">
        <v>6217</v>
      </c>
      <c r="D2086" s="308" t="s">
        <v>2658</v>
      </c>
      <c r="E2086" s="291">
        <v>4566</v>
      </c>
      <c r="F2086" s="291">
        <v>1851</v>
      </c>
      <c r="G2086" s="291">
        <v>1180</v>
      </c>
      <c r="H2086" s="287">
        <v>0.40538764783179998</v>
      </c>
      <c r="I2086" s="211">
        <v>5.4381355932203403</v>
      </c>
      <c r="J2086" s="211">
        <v>-1.0054302228003799E-2</v>
      </c>
      <c r="K2086" s="288">
        <v>-45.9079439730654</v>
      </c>
    </row>
    <row r="2087" spans="2:11" x14ac:dyDescent="0.2">
      <c r="B2087">
        <v>23</v>
      </c>
      <c r="C2087">
        <v>6218</v>
      </c>
      <c r="D2087" s="308" t="s">
        <v>2659</v>
      </c>
      <c r="E2087" s="291">
        <v>1394</v>
      </c>
      <c r="F2087" s="291">
        <v>284</v>
      </c>
      <c r="G2087" s="291">
        <v>1947</v>
      </c>
      <c r="H2087" s="287">
        <v>0.20373027259684401</v>
      </c>
      <c r="I2087" s="211">
        <v>0.86183872624550595</v>
      </c>
      <c r="J2087" s="211">
        <v>-0.54810845602454705</v>
      </c>
      <c r="K2087" s="288">
        <v>-764.06318769821905</v>
      </c>
    </row>
    <row r="2088" spans="2:11" x14ac:dyDescent="0.2">
      <c r="B2088">
        <v>23</v>
      </c>
      <c r="C2088">
        <v>6219</v>
      </c>
      <c r="D2088" s="308" t="s">
        <v>2660</v>
      </c>
      <c r="E2088" s="291">
        <v>1881</v>
      </c>
      <c r="F2088" s="291">
        <v>610</v>
      </c>
      <c r="G2088" s="291">
        <v>490</v>
      </c>
      <c r="H2088" s="287">
        <v>0.32429558745348203</v>
      </c>
      <c r="I2088" s="211">
        <v>5.0836734693877599</v>
      </c>
      <c r="J2088" s="211">
        <v>-0.22606572488087601</v>
      </c>
      <c r="K2088" s="288">
        <v>-425.22962850092802</v>
      </c>
    </row>
    <row r="2089" spans="2:11" x14ac:dyDescent="0.2">
      <c r="B2089">
        <v>23</v>
      </c>
      <c r="C2089">
        <v>6220</v>
      </c>
      <c r="D2089" s="308" t="s">
        <v>2661</v>
      </c>
      <c r="E2089" s="291">
        <v>735</v>
      </c>
      <c r="F2089" s="291">
        <v>98</v>
      </c>
      <c r="G2089" s="291">
        <v>1076</v>
      </c>
      <c r="H2089" s="287">
        <v>0.133333333333333</v>
      </c>
      <c r="I2089" s="211">
        <v>0.774163568773234</v>
      </c>
      <c r="J2089" s="211">
        <v>-0.663720705804555</v>
      </c>
      <c r="K2089" s="288">
        <v>-487.83471876634798</v>
      </c>
    </row>
    <row r="2090" spans="2:11" x14ac:dyDescent="0.2">
      <c r="B2090">
        <v>23</v>
      </c>
      <c r="C2090">
        <v>6232</v>
      </c>
      <c r="D2090" s="308" t="s">
        <v>2662</v>
      </c>
      <c r="E2090" s="291">
        <v>3466</v>
      </c>
      <c r="F2090" s="291">
        <v>1017</v>
      </c>
      <c r="G2090" s="291">
        <v>2321</v>
      </c>
      <c r="H2090" s="287">
        <v>0.29342181188690097</v>
      </c>
      <c r="I2090" s="211">
        <v>1.93149504523912</v>
      </c>
      <c r="J2090" s="211">
        <v>-0.31876926578370102</v>
      </c>
      <c r="K2090" s="288">
        <v>-1104.8542752063099</v>
      </c>
    </row>
    <row r="2091" spans="2:11" x14ac:dyDescent="0.2">
      <c r="B2091">
        <v>23</v>
      </c>
      <c r="C2091">
        <v>6235</v>
      </c>
      <c r="D2091" s="308" t="s">
        <v>2663</v>
      </c>
      <c r="E2091" s="291">
        <v>1615</v>
      </c>
      <c r="F2091" s="291">
        <v>491</v>
      </c>
      <c r="G2091" s="291">
        <v>176</v>
      </c>
      <c r="H2091" s="287">
        <v>0.304024767801858</v>
      </c>
      <c r="I2091" s="211">
        <v>11.965909090909101</v>
      </c>
      <c r="J2091" s="211">
        <v>-1.02485430977357E-2</v>
      </c>
      <c r="K2091" s="288">
        <v>-16.5513971028432</v>
      </c>
    </row>
    <row r="2092" spans="2:11" x14ac:dyDescent="0.2">
      <c r="B2092">
        <v>23</v>
      </c>
      <c r="C2092">
        <v>6238</v>
      </c>
      <c r="D2092" s="308" t="s">
        <v>2664</v>
      </c>
      <c r="E2092" s="291">
        <v>2415</v>
      </c>
      <c r="F2092" s="291">
        <v>462</v>
      </c>
      <c r="G2092" s="291">
        <v>1903</v>
      </c>
      <c r="H2092" s="287">
        <v>0.19130434782608699</v>
      </c>
      <c r="I2092" s="211">
        <v>1.51182343667893</v>
      </c>
      <c r="J2092" s="211">
        <v>-0.50077952311535301</v>
      </c>
      <c r="K2092" s="288">
        <v>-1209.3825483235801</v>
      </c>
    </row>
    <row r="2093" spans="2:11" x14ac:dyDescent="0.2">
      <c r="B2093">
        <v>23</v>
      </c>
      <c r="C2093">
        <v>6239</v>
      </c>
      <c r="D2093" s="308" t="s">
        <v>2665</v>
      </c>
      <c r="E2093" s="291">
        <v>566</v>
      </c>
      <c r="F2093" s="291">
        <v>116</v>
      </c>
      <c r="G2093" s="291">
        <v>1182</v>
      </c>
      <c r="H2093" s="287">
        <v>0.204946996466431</v>
      </c>
      <c r="I2093" s="211">
        <v>0.57698815566835904</v>
      </c>
      <c r="J2093" s="211">
        <v>-0.58863100747511099</v>
      </c>
      <c r="K2093" s="288">
        <v>-333.16515023091301</v>
      </c>
    </row>
    <row r="2094" spans="2:11" x14ac:dyDescent="0.2">
      <c r="B2094">
        <v>23</v>
      </c>
      <c r="C2094">
        <v>6240</v>
      </c>
      <c r="D2094" s="308" t="s">
        <v>2666</v>
      </c>
      <c r="E2094" s="291">
        <v>4047</v>
      </c>
      <c r="F2094" s="291">
        <v>1655</v>
      </c>
      <c r="G2094" s="291">
        <v>1344</v>
      </c>
      <c r="H2094" s="287">
        <v>0.40894489745490498</v>
      </c>
      <c r="I2094" s="211">
        <v>4.2425595238095202</v>
      </c>
      <c r="J2094" s="211">
        <v>-6.9097838012640495E-2</v>
      </c>
      <c r="K2094" s="288">
        <v>-279.63895043715598</v>
      </c>
    </row>
    <row r="2095" spans="2:11" x14ac:dyDescent="0.2">
      <c r="B2095">
        <v>23</v>
      </c>
      <c r="C2095">
        <v>6241</v>
      </c>
      <c r="D2095" s="308" t="s">
        <v>2667</v>
      </c>
      <c r="E2095" s="291">
        <v>1354</v>
      </c>
      <c r="F2095" s="291">
        <v>243</v>
      </c>
      <c r="G2095" s="291">
        <v>250</v>
      </c>
      <c r="H2095" s="287">
        <v>0.179468242245199</v>
      </c>
      <c r="I2095" s="211">
        <v>6.3879999999999999</v>
      </c>
      <c r="J2095" s="211">
        <v>-0.378078349158467</v>
      </c>
      <c r="K2095" s="288">
        <v>-511.918084760564</v>
      </c>
    </row>
    <row r="2096" spans="2:11" x14ac:dyDescent="0.2">
      <c r="B2096">
        <v>23</v>
      </c>
      <c r="C2096">
        <v>6246</v>
      </c>
      <c r="D2096" s="308" t="s">
        <v>2668</v>
      </c>
      <c r="E2096" s="291">
        <v>2263</v>
      </c>
      <c r="F2096" s="291">
        <v>525</v>
      </c>
      <c r="G2096" s="291">
        <v>355</v>
      </c>
      <c r="H2096" s="287">
        <v>0.23199292973928401</v>
      </c>
      <c r="I2096" s="211">
        <v>7.85352112676056</v>
      </c>
      <c r="J2096" s="211">
        <v>-0.22478939378182</v>
      </c>
      <c r="K2096" s="288">
        <v>-508.69839812825802</v>
      </c>
    </row>
    <row r="2097" spans="2:11" x14ac:dyDescent="0.2">
      <c r="B2097">
        <v>23</v>
      </c>
      <c r="C2097">
        <v>6248</v>
      </c>
      <c r="D2097" s="308" t="s">
        <v>2669</v>
      </c>
      <c r="E2097" s="291">
        <v>16817</v>
      </c>
      <c r="F2097" s="291">
        <v>11276</v>
      </c>
      <c r="G2097" s="291">
        <v>1725</v>
      </c>
      <c r="H2097" s="287">
        <v>0.67051198192305395</v>
      </c>
      <c r="I2097" s="211">
        <v>16.285797101449301</v>
      </c>
      <c r="J2097" s="211">
        <v>1.18236162627932</v>
      </c>
      <c r="K2097" s="288">
        <v>19883.775469139298</v>
      </c>
    </row>
    <row r="2098" spans="2:11" x14ac:dyDescent="0.2">
      <c r="B2098">
        <v>23</v>
      </c>
      <c r="C2098">
        <v>6249</v>
      </c>
      <c r="D2098" s="308" t="s">
        <v>2670</v>
      </c>
      <c r="E2098" s="291">
        <v>1251</v>
      </c>
      <c r="F2098" s="291">
        <v>176</v>
      </c>
      <c r="G2098" s="291">
        <v>252</v>
      </c>
      <c r="H2098" s="287">
        <v>0.14068745003996799</v>
      </c>
      <c r="I2098" s="211">
        <v>5.6626984126984103</v>
      </c>
      <c r="J2098" s="211">
        <v>-0.45653246858051999</v>
      </c>
      <c r="K2098" s="288">
        <v>-571.12211819423101</v>
      </c>
    </row>
    <row r="2099" spans="2:11" x14ac:dyDescent="0.2">
      <c r="B2099">
        <v>23</v>
      </c>
      <c r="C2099">
        <v>6250</v>
      </c>
      <c r="D2099" s="308" t="s">
        <v>2671</v>
      </c>
      <c r="E2099" s="291">
        <v>1804</v>
      </c>
      <c r="F2099" s="291">
        <v>170</v>
      </c>
      <c r="G2099" s="291">
        <v>138</v>
      </c>
      <c r="H2099" s="287">
        <v>9.4235033259423506E-2</v>
      </c>
      <c r="I2099" s="211">
        <v>14.304347826087</v>
      </c>
      <c r="J2099" s="211">
        <v>-0.17767245591144901</v>
      </c>
      <c r="K2099" s="288">
        <v>-320.52111046425301</v>
      </c>
    </row>
    <row r="2100" spans="2:11" x14ac:dyDescent="0.2">
      <c r="B2100">
        <v>23</v>
      </c>
      <c r="C2100">
        <v>6252</v>
      </c>
      <c r="D2100" s="308" t="s">
        <v>2672</v>
      </c>
      <c r="E2100" s="291">
        <v>2719</v>
      </c>
      <c r="F2100" s="291">
        <v>1424</v>
      </c>
      <c r="G2100" s="291">
        <v>10895</v>
      </c>
      <c r="H2100" s="287">
        <v>0.52372195660169196</v>
      </c>
      <c r="I2100" s="211">
        <v>0.38026617714548</v>
      </c>
      <c r="J2100" s="211">
        <v>-0.118528959047194</v>
      </c>
      <c r="K2100" s="288">
        <v>-322.28023964931998</v>
      </c>
    </row>
    <row r="2101" spans="2:11" x14ac:dyDescent="0.2">
      <c r="B2101">
        <v>23</v>
      </c>
      <c r="C2101">
        <v>6253</v>
      </c>
      <c r="D2101" s="308" t="s">
        <v>2673</v>
      </c>
      <c r="E2101" s="291">
        <v>10711</v>
      </c>
      <c r="F2101" s="291">
        <v>4593</v>
      </c>
      <c r="G2101" s="291">
        <v>4173</v>
      </c>
      <c r="H2101" s="287">
        <v>0.42881150219400599</v>
      </c>
      <c r="I2101" s="211">
        <v>3.6673855739276302</v>
      </c>
      <c r="J2101" s="211">
        <v>0.18916271194618101</v>
      </c>
      <c r="K2101" s="288">
        <v>2026.1218076555399</v>
      </c>
    </row>
    <row r="2102" spans="2:11" x14ac:dyDescent="0.2">
      <c r="B2102">
        <v>23</v>
      </c>
      <c r="C2102">
        <v>6261</v>
      </c>
      <c r="D2102" s="308" t="s">
        <v>2674</v>
      </c>
      <c r="E2102" s="291">
        <v>1219</v>
      </c>
      <c r="F2102" s="291">
        <v>182</v>
      </c>
      <c r="G2102" s="291">
        <v>1004</v>
      </c>
      <c r="H2102" s="287">
        <v>0.149302707136998</v>
      </c>
      <c r="I2102" s="211">
        <v>1.3954183266932301</v>
      </c>
      <c r="J2102" s="211">
        <v>-0.60277204021490005</v>
      </c>
      <c r="K2102" s="288">
        <v>-734.77911702196297</v>
      </c>
    </row>
    <row r="2103" spans="2:11" x14ac:dyDescent="0.2">
      <c r="B2103">
        <v>23</v>
      </c>
      <c r="C2103">
        <v>6263</v>
      </c>
      <c r="D2103" s="308" t="s">
        <v>2675</v>
      </c>
      <c r="E2103" s="291">
        <v>3279</v>
      </c>
      <c r="F2103" s="291">
        <v>767</v>
      </c>
      <c r="G2103" s="291">
        <v>431</v>
      </c>
      <c r="H2103" s="287">
        <v>0.23391277828606299</v>
      </c>
      <c r="I2103" s="211">
        <v>9.3874709976798094</v>
      </c>
      <c r="J2103" s="211">
        <v>-0.12762309063753999</v>
      </c>
      <c r="K2103" s="288">
        <v>-418.47611420049498</v>
      </c>
    </row>
    <row r="2104" spans="2:11" x14ac:dyDescent="0.2">
      <c r="B2104">
        <v>23</v>
      </c>
      <c r="C2104">
        <v>6265</v>
      </c>
      <c r="D2104" s="308" t="s">
        <v>2676</v>
      </c>
      <c r="E2104" s="291">
        <v>7532</v>
      </c>
      <c r="F2104" s="291">
        <v>1518</v>
      </c>
      <c r="G2104" s="291">
        <v>2966</v>
      </c>
      <c r="H2104" s="287">
        <v>0.20154009559214001</v>
      </c>
      <c r="I2104" s="211">
        <v>3.05124747134187</v>
      </c>
      <c r="J2104" s="211">
        <v>-0.23641169538555601</v>
      </c>
      <c r="K2104" s="288">
        <v>-1780.65288964401</v>
      </c>
    </row>
    <row r="2105" spans="2:11" x14ac:dyDescent="0.2">
      <c r="B2105">
        <v>23</v>
      </c>
      <c r="C2105">
        <v>6266</v>
      </c>
      <c r="D2105" s="308" t="s">
        <v>2677</v>
      </c>
      <c r="E2105" s="291">
        <v>34353</v>
      </c>
      <c r="F2105" s="291">
        <v>33594</v>
      </c>
      <c r="G2105" s="291">
        <v>3257</v>
      </c>
      <c r="H2105" s="287">
        <v>0.97790585975024003</v>
      </c>
      <c r="I2105" s="211">
        <v>20.861836045440601</v>
      </c>
      <c r="J2105" s="211">
        <v>2.4002720728657501</v>
      </c>
      <c r="K2105" s="288">
        <v>82456.546519157098</v>
      </c>
    </row>
    <row r="2106" spans="2:11" x14ac:dyDescent="0.2">
      <c r="B2106">
        <v>23</v>
      </c>
      <c r="C2106">
        <v>6267</v>
      </c>
      <c r="D2106" s="308" t="s">
        <v>2678</v>
      </c>
      <c r="E2106" s="291">
        <v>611</v>
      </c>
      <c r="F2106" s="291">
        <v>277</v>
      </c>
      <c r="G2106" s="291">
        <v>116</v>
      </c>
      <c r="H2106" s="287">
        <v>0.45335515548281502</v>
      </c>
      <c r="I2106" s="211">
        <v>7.6551724137930997</v>
      </c>
      <c r="J2106" s="211">
        <v>-2.0844096657198299E-2</v>
      </c>
      <c r="K2106" s="288">
        <v>-12.735743057548101</v>
      </c>
    </row>
    <row r="2107" spans="2:11" x14ac:dyDescent="0.2">
      <c r="B2107">
        <v>23</v>
      </c>
      <c r="C2107">
        <v>6281</v>
      </c>
      <c r="D2107" s="308" t="s">
        <v>2679</v>
      </c>
      <c r="E2107" s="291">
        <v>1308</v>
      </c>
      <c r="F2107" s="291">
        <v>149</v>
      </c>
      <c r="G2107" s="291">
        <v>414</v>
      </c>
      <c r="H2107" s="287">
        <v>0.113914373088685</v>
      </c>
      <c r="I2107" s="211">
        <v>3.5193236714975802</v>
      </c>
      <c r="J2107" s="211">
        <v>-0.56573223155887398</v>
      </c>
      <c r="K2107" s="288">
        <v>-739.97775887900696</v>
      </c>
    </row>
    <row r="2108" spans="2:11" x14ac:dyDescent="0.2">
      <c r="B2108">
        <v>23</v>
      </c>
      <c r="C2108">
        <v>6282</v>
      </c>
      <c r="D2108" s="308" t="s">
        <v>2680</v>
      </c>
      <c r="E2108" s="291">
        <v>201</v>
      </c>
      <c r="F2108" s="291">
        <v>41</v>
      </c>
      <c r="G2108" s="291">
        <v>1394</v>
      </c>
      <c r="H2108" s="287">
        <v>0.20398009950248799</v>
      </c>
      <c r="I2108" s="211">
        <v>0.17360114777618399</v>
      </c>
      <c r="J2108" s="211">
        <v>-0.61849326534767901</v>
      </c>
      <c r="K2108" s="288">
        <v>-124.317146334884</v>
      </c>
    </row>
    <row r="2109" spans="2:11" x14ac:dyDescent="0.2">
      <c r="B2109">
        <v>23</v>
      </c>
      <c r="C2109">
        <v>6283</v>
      </c>
      <c r="D2109" s="308" t="s">
        <v>2681</v>
      </c>
      <c r="E2109" s="291">
        <v>300</v>
      </c>
      <c r="F2109" s="291">
        <v>69</v>
      </c>
      <c r="G2109" s="291">
        <v>525</v>
      </c>
      <c r="H2109" s="287">
        <v>0.23</v>
      </c>
      <c r="I2109" s="211">
        <v>0.70285714285714296</v>
      </c>
      <c r="J2109" s="211">
        <v>-0.56315758682870698</v>
      </c>
      <c r="K2109" s="288">
        <v>-168.947276048612</v>
      </c>
    </row>
    <row r="2110" spans="2:11" x14ac:dyDescent="0.2">
      <c r="B2110">
        <v>23</v>
      </c>
      <c r="C2110">
        <v>6285</v>
      </c>
      <c r="D2110" s="308" t="s">
        <v>2682</v>
      </c>
      <c r="E2110" s="291">
        <v>1313</v>
      </c>
      <c r="F2110" s="291">
        <v>546</v>
      </c>
      <c r="G2110" s="291">
        <v>1058</v>
      </c>
      <c r="H2110" s="287">
        <v>0.41584158415841599</v>
      </c>
      <c r="I2110" s="211">
        <v>1.75708884688091</v>
      </c>
      <c r="J2110" s="211">
        <v>-0.25569930649476802</v>
      </c>
      <c r="K2110" s="288">
        <v>-335.73318942763098</v>
      </c>
    </row>
    <row r="2111" spans="2:11" x14ac:dyDescent="0.2">
      <c r="B2111">
        <v>23</v>
      </c>
      <c r="C2111">
        <v>6286</v>
      </c>
      <c r="D2111" s="308" t="s">
        <v>2683</v>
      </c>
      <c r="E2111" s="291">
        <v>661</v>
      </c>
      <c r="F2111" s="291">
        <v>309</v>
      </c>
      <c r="G2111" s="291">
        <v>109</v>
      </c>
      <c r="H2111" s="287">
        <v>0.46747352496217898</v>
      </c>
      <c r="I2111" s="211">
        <v>8.8990825688073407</v>
      </c>
      <c r="J2111" s="211">
        <v>4.3945670429243501E-2</v>
      </c>
      <c r="K2111" s="288">
        <v>29.048088153729999</v>
      </c>
    </row>
    <row r="2112" spans="2:11" x14ac:dyDescent="0.2">
      <c r="B2112">
        <v>23</v>
      </c>
      <c r="C2112">
        <v>6287</v>
      </c>
      <c r="D2112" s="308" t="s">
        <v>2684</v>
      </c>
      <c r="E2112" s="291">
        <v>444</v>
      </c>
      <c r="F2112" s="291">
        <v>94</v>
      </c>
      <c r="G2112" s="291">
        <v>1013</v>
      </c>
      <c r="H2112" s="287">
        <v>0.21171171171171199</v>
      </c>
      <c r="I2112" s="211">
        <v>0.53109575518262597</v>
      </c>
      <c r="J2112" s="211">
        <v>-0.586584363758058</v>
      </c>
      <c r="K2112" s="288">
        <v>-260.44345750857798</v>
      </c>
    </row>
    <row r="2113" spans="2:11" x14ac:dyDescent="0.2">
      <c r="B2113">
        <v>23</v>
      </c>
      <c r="C2113">
        <v>6288</v>
      </c>
      <c r="D2113" s="308" t="s">
        <v>2685</v>
      </c>
      <c r="E2113" s="291">
        <v>386</v>
      </c>
      <c r="F2113" s="291">
        <v>167</v>
      </c>
      <c r="G2113" s="291">
        <v>1270</v>
      </c>
      <c r="H2113" s="287">
        <v>0.432642487046632</v>
      </c>
      <c r="I2113" s="211">
        <v>0.43543307086614202</v>
      </c>
      <c r="J2113" s="211">
        <v>-0.31852128937905699</v>
      </c>
      <c r="K2113" s="288">
        <v>-122.949217700316</v>
      </c>
    </row>
    <row r="2114" spans="2:11" x14ac:dyDescent="0.2">
      <c r="B2114">
        <v>23</v>
      </c>
      <c r="C2114">
        <v>6289</v>
      </c>
      <c r="D2114" s="308" t="s">
        <v>2686</v>
      </c>
      <c r="E2114" s="291">
        <v>366</v>
      </c>
      <c r="F2114" s="291">
        <v>107</v>
      </c>
      <c r="G2114" s="291">
        <v>1076</v>
      </c>
      <c r="H2114" s="287">
        <v>0.292349726775956</v>
      </c>
      <c r="I2114" s="211">
        <v>0.439591078066914</v>
      </c>
      <c r="J2114" s="211">
        <v>-0.49297953191719102</v>
      </c>
      <c r="K2114" s="288">
        <v>-180.430508681692</v>
      </c>
    </row>
    <row r="2115" spans="2:11" x14ac:dyDescent="0.2">
      <c r="B2115">
        <v>23</v>
      </c>
      <c r="C2115">
        <v>6290</v>
      </c>
      <c r="D2115" s="308" t="s">
        <v>2687</v>
      </c>
      <c r="E2115" s="291">
        <v>1636</v>
      </c>
      <c r="F2115" s="291">
        <v>1500</v>
      </c>
      <c r="G2115" s="291">
        <v>671</v>
      </c>
      <c r="H2115" s="287">
        <v>0.91687041564792204</v>
      </c>
      <c r="I2115" s="211">
        <v>4.6736214605067099</v>
      </c>
      <c r="J2115" s="211">
        <v>0.48390960641159397</v>
      </c>
      <c r="K2115" s="288">
        <v>791.67611608936704</v>
      </c>
    </row>
    <row r="2116" spans="2:11" x14ac:dyDescent="0.2">
      <c r="B2116">
        <v>23</v>
      </c>
      <c r="C2116">
        <v>6291</v>
      </c>
      <c r="D2116" s="308" t="s">
        <v>2688</v>
      </c>
      <c r="E2116" s="291">
        <v>1023</v>
      </c>
      <c r="F2116" s="291">
        <v>489</v>
      </c>
      <c r="G2116" s="291">
        <v>629</v>
      </c>
      <c r="H2116" s="287">
        <v>0.47800586510263898</v>
      </c>
      <c r="I2116" s="211">
        <v>2.40381558028617</v>
      </c>
      <c r="J2116" s="211">
        <v>-0.166152347271004</v>
      </c>
      <c r="K2116" s="288">
        <v>-169.973851258237</v>
      </c>
    </row>
    <row r="2117" spans="2:11" x14ac:dyDescent="0.2">
      <c r="B2117">
        <v>23</v>
      </c>
      <c r="C2117">
        <v>6292</v>
      </c>
      <c r="D2117" s="308" t="s">
        <v>2689</v>
      </c>
      <c r="E2117" s="291">
        <v>2265</v>
      </c>
      <c r="F2117" s="291">
        <v>1101</v>
      </c>
      <c r="G2117" s="291">
        <v>2881</v>
      </c>
      <c r="H2117" s="287">
        <v>0.48609271523178799</v>
      </c>
      <c r="I2117" s="211">
        <v>1.1683443248871901</v>
      </c>
      <c r="J2117" s="211">
        <v>-0.15375167272521101</v>
      </c>
      <c r="K2117" s="288">
        <v>-348.247538722603</v>
      </c>
    </row>
    <row r="2118" spans="2:11" x14ac:dyDescent="0.2">
      <c r="B2118">
        <v>23</v>
      </c>
      <c r="C2118">
        <v>6293</v>
      </c>
      <c r="D2118" s="308" t="s">
        <v>2690</v>
      </c>
      <c r="E2118" s="291">
        <v>1119</v>
      </c>
      <c r="F2118" s="291">
        <v>345</v>
      </c>
      <c r="G2118" s="291">
        <v>942</v>
      </c>
      <c r="H2118" s="287">
        <v>0.30831099195710499</v>
      </c>
      <c r="I2118" s="211">
        <v>1.55414012738854</v>
      </c>
      <c r="J2118" s="211">
        <v>-0.40376462387540002</v>
      </c>
      <c r="K2118" s="288">
        <v>-451.81261411657198</v>
      </c>
    </row>
    <row r="2119" spans="2:11" x14ac:dyDescent="0.2">
      <c r="B2119">
        <v>23</v>
      </c>
      <c r="C2119">
        <v>6294</v>
      </c>
      <c r="D2119" s="308" t="s">
        <v>2691</v>
      </c>
      <c r="E2119" s="291">
        <v>558</v>
      </c>
      <c r="F2119" s="291">
        <v>88</v>
      </c>
      <c r="G2119" s="291">
        <v>973</v>
      </c>
      <c r="H2119" s="287">
        <v>0.15770609318996401</v>
      </c>
      <c r="I2119" s="211">
        <v>0.66392600205549801</v>
      </c>
      <c r="J2119" s="211">
        <v>-0.64430397183844901</v>
      </c>
      <c r="K2119" s="288">
        <v>-359.52161628585498</v>
      </c>
    </row>
    <row r="2120" spans="2:11" x14ac:dyDescent="0.2">
      <c r="B2120">
        <v>23</v>
      </c>
      <c r="C2120">
        <v>6295</v>
      </c>
      <c r="D2120" s="308" t="s">
        <v>2692</v>
      </c>
      <c r="E2120" s="291">
        <v>1237</v>
      </c>
      <c r="F2120" s="291">
        <v>257</v>
      </c>
      <c r="G2120" s="291">
        <v>1290</v>
      </c>
      <c r="H2120" s="287">
        <v>0.20776071139854499</v>
      </c>
      <c r="I2120" s="211">
        <v>1.15813953488372</v>
      </c>
      <c r="J2120" s="211">
        <v>-0.53830237188958296</v>
      </c>
      <c r="K2120" s="288">
        <v>-665.88003402741504</v>
      </c>
    </row>
    <row r="2121" spans="2:11" x14ac:dyDescent="0.2">
      <c r="B2121">
        <v>23</v>
      </c>
      <c r="C2121">
        <v>6296</v>
      </c>
      <c r="D2121" s="308" t="s">
        <v>2693</v>
      </c>
      <c r="E2121" s="291">
        <v>471</v>
      </c>
      <c r="F2121" s="291">
        <v>156</v>
      </c>
      <c r="G2121" s="291">
        <v>1259</v>
      </c>
      <c r="H2121" s="287">
        <v>0.33121019108280297</v>
      </c>
      <c r="I2121" s="211">
        <v>0.49801429706116002</v>
      </c>
      <c r="J2121" s="211">
        <v>-0.43868146034824701</v>
      </c>
      <c r="K2121" s="288">
        <v>-206.618967824024</v>
      </c>
    </row>
    <row r="2122" spans="2:11" x14ac:dyDescent="0.2">
      <c r="B2122">
        <v>23</v>
      </c>
      <c r="C2122">
        <v>6297</v>
      </c>
      <c r="D2122" s="308" t="s">
        <v>2694</v>
      </c>
      <c r="E2122" s="291">
        <v>7726</v>
      </c>
      <c r="F2122" s="291">
        <v>9277</v>
      </c>
      <c r="G2122" s="291">
        <v>1275</v>
      </c>
      <c r="H2122" s="287">
        <v>1.20075071188196</v>
      </c>
      <c r="I2122" s="211">
        <v>13.335686274509801</v>
      </c>
      <c r="J2122" s="211">
        <v>1.3844167669798</v>
      </c>
      <c r="K2122" s="288">
        <v>10696.003941686</v>
      </c>
    </row>
    <row r="2123" spans="2:11" x14ac:dyDescent="0.2">
      <c r="B2123">
        <v>23</v>
      </c>
      <c r="C2123">
        <v>6298</v>
      </c>
      <c r="D2123" s="308" t="s">
        <v>2695</v>
      </c>
      <c r="E2123" s="291">
        <v>1363</v>
      </c>
      <c r="F2123" s="291">
        <v>433</v>
      </c>
      <c r="G2123" s="291">
        <v>3313</v>
      </c>
      <c r="H2123" s="287">
        <v>0.317681584739545</v>
      </c>
      <c r="I2123" s="211">
        <v>0.54210685179595497</v>
      </c>
      <c r="J2123" s="211">
        <v>-0.41975405164613899</v>
      </c>
      <c r="K2123" s="288">
        <v>-572.12477239368695</v>
      </c>
    </row>
    <row r="2124" spans="2:11" x14ac:dyDescent="0.2">
      <c r="B2124">
        <v>23</v>
      </c>
      <c r="C2124">
        <v>6299</v>
      </c>
      <c r="D2124" s="308" t="s">
        <v>2696</v>
      </c>
      <c r="E2124" s="291">
        <v>280</v>
      </c>
      <c r="F2124" s="291">
        <v>56</v>
      </c>
      <c r="G2124" s="291">
        <v>712</v>
      </c>
      <c r="H2124" s="287">
        <v>0.2</v>
      </c>
      <c r="I2124" s="211">
        <v>0.47191011235955099</v>
      </c>
      <c r="J2124" s="211">
        <v>-0.60952285031100595</v>
      </c>
      <c r="K2124" s="288">
        <v>-170.666398087082</v>
      </c>
    </row>
    <row r="2125" spans="2:11" x14ac:dyDescent="0.2">
      <c r="B2125">
        <v>23</v>
      </c>
      <c r="C2125">
        <v>6300</v>
      </c>
      <c r="D2125" s="308" t="s">
        <v>2697</v>
      </c>
      <c r="E2125" s="291">
        <v>5714</v>
      </c>
      <c r="F2125" s="291">
        <v>6647</v>
      </c>
      <c r="G2125" s="291">
        <v>3596</v>
      </c>
      <c r="H2125" s="287">
        <v>1.16328316415821</v>
      </c>
      <c r="I2125" s="211">
        <v>3.43743047830923</v>
      </c>
      <c r="J2125" s="211">
        <v>0.899970986133242</v>
      </c>
      <c r="K2125" s="288">
        <v>5142.4342147653497</v>
      </c>
    </row>
    <row r="2126" spans="2:11" x14ac:dyDescent="0.2">
      <c r="B2126">
        <v>24</v>
      </c>
      <c r="C2126">
        <v>6402</v>
      </c>
      <c r="D2126" s="308" t="s">
        <v>2698</v>
      </c>
      <c r="E2126" s="291">
        <v>3829</v>
      </c>
      <c r="F2126" s="291">
        <v>1324</v>
      </c>
      <c r="G2126" s="291">
        <v>1062</v>
      </c>
      <c r="H2126" s="287">
        <v>0.34578218856098197</v>
      </c>
      <c r="I2126" s="211">
        <v>4.8521657250470804</v>
      </c>
      <c r="J2126" s="211">
        <v>-0.13345485989868999</v>
      </c>
      <c r="K2126" s="288">
        <v>-510.99865855208498</v>
      </c>
    </row>
    <row r="2127" spans="2:11" x14ac:dyDescent="0.2">
      <c r="B2127">
        <v>24</v>
      </c>
      <c r="C2127">
        <v>6404</v>
      </c>
      <c r="D2127" s="308" t="s">
        <v>2699</v>
      </c>
      <c r="E2127" s="291">
        <v>5846</v>
      </c>
      <c r="F2127" s="291">
        <v>3628</v>
      </c>
      <c r="G2127" s="291">
        <v>1641</v>
      </c>
      <c r="H2127" s="287">
        <v>0.62059527882312704</v>
      </c>
      <c r="I2127" s="211">
        <v>5.7733089579524703</v>
      </c>
      <c r="J2127" s="211">
        <v>0.31776026838257398</v>
      </c>
      <c r="K2127" s="288">
        <v>1857.6265289645301</v>
      </c>
    </row>
    <row r="2128" spans="2:11" x14ac:dyDescent="0.2">
      <c r="B2128">
        <v>24</v>
      </c>
      <c r="C2128">
        <v>6407</v>
      </c>
      <c r="D2128" s="308" t="s">
        <v>2700</v>
      </c>
      <c r="E2128" s="291">
        <v>4732</v>
      </c>
      <c r="F2128" s="291">
        <v>1511</v>
      </c>
      <c r="G2128" s="291">
        <v>483</v>
      </c>
      <c r="H2128" s="287">
        <v>0.31931530008453102</v>
      </c>
      <c r="I2128" s="211">
        <v>12.9254658385093</v>
      </c>
      <c r="J2128" s="211">
        <v>0.16280747686785699</v>
      </c>
      <c r="K2128" s="288">
        <v>770.40498053869703</v>
      </c>
    </row>
    <row r="2129" spans="2:11" x14ac:dyDescent="0.2">
      <c r="B2129">
        <v>24</v>
      </c>
      <c r="C2129">
        <v>6408</v>
      </c>
      <c r="D2129" s="308" t="s">
        <v>2701</v>
      </c>
      <c r="E2129" s="291">
        <v>4777</v>
      </c>
      <c r="F2129" s="291">
        <v>1927</v>
      </c>
      <c r="G2129" s="291">
        <v>364</v>
      </c>
      <c r="H2129" s="287">
        <v>0.40339124973833002</v>
      </c>
      <c r="I2129" s="211">
        <v>18.417582417582398</v>
      </c>
      <c r="J2129" s="211">
        <v>0.46909180179319798</v>
      </c>
      <c r="K2129" s="288">
        <v>2240.8515371661001</v>
      </c>
    </row>
    <row r="2130" spans="2:11" x14ac:dyDescent="0.2">
      <c r="B2130">
        <v>24</v>
      </c>
      <c r="C2130">
        <v>6409</v>
      </c>
      <c r="D2130" s="308" t="s">
        <v>2702</v>
      </c>
      <c r="E2130" s="291">
        <v>248</v>
      </c>
      <c r="F2130" s="291">
        <v>169</v>
      </c>
      <c r="G2130" s="291">
        <v>159</v>
      </c>
      <c r="H2130" s="287">
        <v>0.68145161290322598</v>
      </c>
      <c r="I2130" s="211">
        <v>2.6226415094339601</v>
      </c>
      <c r="J2130" s="211">
        <v>6.4321899567356594E-2</v>
      </c>
      <c r="K2130" s="288">
        <v>15.951831092704399</v>
      </c>
    </row>
    <row r="2131" spans="2:11" x14ac:dyDescent="0.2">
      <c r="B2131">
        <v>24</v>
      </c>
      <c r="C2131">
        <v>6410</v>
      </c>
      <c r="D2131" s="308" t="s">
        <v>2703</v>
      </c>
      <c r="E2131" s="291">
        <v>2014</v>
      </c>
      <c r="F2131" s="291">
        <v>492</v>
      </c>
      <c r="G2131" s="291">
        <v>1372</v>
      </c>
      <c r="H2131" s="287">
        <v>0.24428997020854001</v>
      </c>
      <c r="I2131" s="211">
        <v>1.8265306122449001</v>
      </c>
      <c r="J2131" s="211">
        <v>-0.43896148107753602</v>
      </c>
      <c r="K2131" s="288">
        <v>-884.06842289015697</v>
      </c>
    </row>
    <row r="2132" spans="2:11" x14ac:dyDescent="0.2">
      <c r="B2132">
        <v>24</v>
      </c>
      <c r="C2132">
        <v>6411</v>
      </c>
      <c r="D2132" s="308" t="s">
        <v>2704</v>
      </c>
      <c r="E2132" s="291">
        <v>239</v>
      </c>
      <c r="F2132" s="291">
        <v>56</v>
      </c>
      <c r="G2132" s="291">
        <v>637</v>
      </c>
      <c r="H2132" s="287">
        <v>0.23430962343096201</v>
      </c>
      <c r="I2132" s="211">
        <v>0.46310832025117699</v>
      </c>
      <c r="J2132" s="211">
        <v>-0.56889531842390095</v>
      </c>
      <c r="K2132" s="288">
        <v>-135.965981103312</v>
      </c>
    </row>
    <row r="2133" spans="2:11" x14ac:dyDescent="0.2">
      <c r="B2133">
        <v>24</v>
      </c>
      <c r="C2133">
        <v>6412</v>
      </c>
      <c r="D2133" s="308" t="s">
        <v>2705</v>
      </c>
      <c r="E2133" s="291">
        <v>5926</v>
      </c>
      <c r="F2133" s="291">
        <v>1825</v>
      </c>
      <c r="G2133" s="291">
        <v>342</v>
      </c>
      <c r="H2133" s="287">
        <v>0.30796490043874503</v>
      </c>
      <c r="I2133" s="211">
        <v>22.663742690058498</v>
      </c>
      <c r="J2133" s="211">
        <v>0.54966759695323497</v>
      </c>
      <c r="K2133" s="288">
        <v>3257.3301795448701</v>
      </c>
    </row>
    <row r="2134" spans="2:11" x14ac:dyDescent="0.2">
      <c r="B2134">
        <v>24</v>
      </c>
      <c r="C2134">
        <v>6413</v>
      </c>
      <c r="D2134" s="308" t="s">
        <v>2706</v>
      </c>
      <c r="E2134" s="291">
        <v>1237</v>
      </c>
      <c r="F2134" s="291">
        <v>250</v>
      </c>
      <c r="G2134" s="291">
        <v>2567</v>
      </c>
      <c r="H2134" s="287">
        <v>0.202101859337106</v>
      </c>
      <c r="I2134" s="211">
        <v>0.57927541877678201</v>
      </c>
      <c r="J2134" s="211">
        <v>-0.56643459410755004</v>
      </c>
      <c r="K2134" s="288">
        <v>-700.67959291104</v>
      </c>
    </row>
    <row r="2135" spans="2:11" x14ac:dyDescent="0.2">
      <c r="B2135">
        <v>24</v>
      </c>
      <c r="C2135">
        <v>6414</v>
      </c>
      <c r="D2135" s="308" t="s">
        <v>2707</v>
      </c>
      <c r="E2135" s="291">
        <v>2465</v>
      </c>
      <c r="F2135" s="291">
        <v>848</v>
      </c>
      <c r="G2135" s="291">
        <v>766</v>
      </c>
      <c r="H2135" s="287">
        <v>0.34401622718052699</v>
      </c>
      <c r="I2135" s="211">
        <v>4.3250652741514397</v>
      </c>
      <c r="J2135" s="211">
        <v>-0.20699226004021401</v>
      </c>
      <c r="K2135" s="288">
        <v>-510.23592099912702</v>
      </c>
    </row>
    <row r="2136" spans="2:11" x14ac:dyDescent="0.2">
      <c r="B2136">
        <v>24</v>
      </c>
      <c r="C2136">
        <v>6415</v>
      </c>
      <c r="D2136" s="308" t="s">
        <v>2708</v>
      </c>
      <c r="E2136" s="291">
        <v>273</v>
      </c>
      <c r="F2136" s="291">
        <v>126</v>
      </c>
      <c r="G2136" s="291">
        <v>176</v>
      </c>
      <c r="H2136" s="287">
        <v>0.46153846153846201</v>
      </c>
      <c r="I2136" s="211">
        <v>2.2670454545454501</v>
      </c>
      <c r="J2136" s="211">
        <v>-0.22020535151929299</v>
      </c>
      <c r="K2136" s="288">
        <v>-60.116060964767001</v>
      </c>
    </row>
    <row r="2137" spans="2:11" x14ac:dyDescent="0.2">
      <c r="B2137">
        <v>24</v>
      </c>
      <c r="C2137">
        <v>6416</v>
      </c>
      <c r="D2137" s="308" t="s">
        <v>2709</v>
      </c>
      <c r="E2137" s="291">
        <v>8986</v>
      </c>
      <c r="F2137" s="291">
        <v>2557</v>
      </c>
      <c r="G2137" s="291">
        <v>873</v>
      </c>
      <c r="H2137" s="287">
        <v>0.284553750278211</v>
      </c>
      <c r="I2137" s="211">
        <v>13.2222222222222</v>
      </c>
      <c r="J2137" s="211">
        <v>0.29310251116957697</v>
      </c>
      <c r="K2137" s="288">
        <v>2633.81916536982</v>
      </c>
    </row>
    <row r="2138" spans="2:11" x14ac:dyDescent="0.2">
      <c r="B2138">
        <v>24</v>
      </c>
      <c r="C2138">
        <v>6421</v>
      </c>
      <c r="D2138" s="308" t="s">
        <v>2710</v>
      </c>
      <c r="E2138" s="291">
        <v>38965</v>
      </c>
      <c r="F2138" s="291">
        <v>25637</v>
      </c>
      <c r="G2138" s="291">
        <v>5536</v>
      </c>
      <c r="H2138" s="287">
        <v>0.65794944180674997</v>
      </c>
      <c r="I2138" s="211">
        <v>11.669436416185</v>
      </c>
      <c r="J2138" s="211">
        <v>1.8446290440826201</v>
      </c>
      <c r="K2138" s="288">
        <v>71875.970702679202</v>
      </c>
    </row>
    <row r="2139" spans="2:11" x14ac:dyDescent="0.2">
      <c r="B2139">
        <v>24</v>
      </c>
      <c r="C2139">
        <v>6422</v>
      </c>
      <c r="D2139" s="308" t="s">
        <v>2711</v>
      </c>
      <c r="E2139" s="291">
        <v>205</v>
      </c>
      <c r="F2139" s="291">
        <v>54</v>
      </c>
      <c r="G2139" s="291">
        <v>1140</v>
      </c>
      <c r="H2139" s="287">
        <v>0.26341463414634098</v>
      </c>
      <c r="I2139" s="211">
        <v>0.22719298245614</v>
      </c>
      <c r="J2139" s="211">
        <v>-0.54273597388224504</v>
      </c>
      <c r="K2139" s="288">
        <v>-111.26087464586</v>
      </c>
    </row>
    <row r="2140" spans="2:11" x14ac:dyDescent="0.2">
      <c r="B2140">
        <v>24</v>
      </c>
      <c r="C2140">
        <v>6423</v>
      </c>
      <c r="D2140" s="308" t="s">
        <v>2712</v>
      </c>
      <c r="E2140" s="291">
        <v>958</v>
      </c>
      <c r="F2140" s="291">
        <v>321</v>
      </c>
      <c r="G2140" s="291">
        <v>2557</v>
      </c>
      <c r="H2140" s="287">
        <v>0.335073068893528</v>
      </c>
      <c r="I2140" s="211">
        <v>0.50019554165037206</v>
      </c>
      <c r="J2140" s="211">
        <v>-0.415207125851562</v>
      </c>
      <c r="K2140" s="288">
        <v>-397.76842656579601</v>
      </c>
    </row>
    <row r="2141" spans="2:11" x14ac:dyDescent="0.2">
      <c r="B2141">
        <v>24</v>
      </c>
      <c r="C2141">
        <v>6431</v>
      </c>
      <c r="D2141" s="308" t="s">
        <v>2713</v>
      </c>
      <c r="E2141" s="291">
        <v>1041</v>
      </c>
      <c r="F2141" s="291">
        <v>845</v>
      </c>
      <c r="G2141" s="291">
        <v>1104</v>
      </c>
      <c r="H2141" s="287">
        <v>0.81171950048030705</v>
      </c>
      <c r="I2141" s="211">
        <v>1.7083333333333299</v>
      </c>
      <c r="J2141" s="211">
        <v>0.22268658420637899</v>
      </c>
      <c r="K2141" s="288">
        <v>231.81673415884001</v>
      </c>
    </row>
    <row r="2142" spans="2:11" x14ac:dyDescent="0.2">
      <c r="B2142">
        <v>24</v>
      </c>
      <c r="C2142">
        <v>6432</v>
      </c>
      <c r="D2142" s="308" t="s">
        <v>2714</v>
      </c>
      <c r="E2142" s="291">
        <v>632</v>
      </c>
      <c r="F2142" s="291">
        <v>336</v>
      </c>
      <c r="G2142" s="291">
        <v>4123</v>
      </c>
      <c r="H2142" s="287">
        <v>0.531645569620253</v>
      </c>
      <c r="I2142" s="211">
        <v>0.234780499636187</v>
      </c>
      <c r="J2142" s="211">
        <v>-0.19376153939935101</v>
      </c>
      <c r="K2142" s="288">
        <v>-122.45729290039</v>
      </c>
    </row>
    <row r="2143" spans="2:11" x14ac:dyDescent="0.2">
      <c r="B2143">
        <v>24</v>
      </c>
      <c r="C2143">
        <v>6433</v>
      </c>
      <c r="D2143" s="308" t="s">
        <v>2715</v>
      </c>
      <c r="E2143" s="291">
        <v>268</v>
      </c>
      <c r="F2143" s="291">
        <v>127</v>
      </c>
      <c r="G2143" s="291">
        <v>1595</v>
      </c>
      <c r="H2143" s="287">
        <v>0.47388059701492502</v>
      </c>
      <c r="I2143" s="211">
        <v>0.24764890282131699</v>
      </c>
      <c r="J2143" s="211">
        <v>-0.27878056309681198</v>
      </c>
      <c r="K2143" s="288">
        <v>-74.713190909945595</v>
      </c>
    </row>
    <row r="2144" spans="2:11" x14ac:dyDescent="0.2">
      <c r="B2144">
        <v>24</v>
      </c>
      <c r="C2144">
        <v>6434</v>
      </c>
      <c r="D2144" s="308" t="s">
        <v>2716</v>
      </c>
      <c r="E2144" s="291">
        <v>329</v>
      </c>
      <c r="F2144" s="291">
        <v>115</v>
      </c>
      <c r="G2144" s="291">
        <v>1547</v>
      </c>
      <c r="H2144" s="287">
        <v>0.34954407294832801</v>
      </c>
      <c r="I2144" s="211">
        <v>0.287007110536522</v>
      </c>
      <c r="J2144" s="211">
        <v>-0.429087156236307</v>
      </c>
      <c r="K2144" s="288">
        <v>-141.169674401745</v>
      </c>
    </row>
    <row r="2145" spans="2:11" x14ac:dyDescent="0.2">
      <c r="B2145">
        <v>24</v>
      </c>
      <c r="C2145">
        <v>6435</v>
      </c>
      <c r="D2145" s="308" t="s">
        <v>2717</v>
      </c>
      <c r="E2145" s="291">
        <v>499</v>
      </c>
      <c r="F2145" s="291">
        <v>107</v>
      </c>
      <c r="G2145" s="291">
        <v>1736</v>
      </c>
      <c r="H2145" s="287">
        <v>0.21442885771543099</v>
      </c>
      <c r="I2145" s="211">
        <v>0.34907834101382501</v>
      </c>
      <c r="J2145" s="211">
        <v>-0.58775679558765304</v>
      </c>
      <c r="K2145" s="288">
        <v>-293.29064099823898</v>
      </c>
    </row>
    <row r="2146" spans="2:11" x14ac:dyDescent="0.2">
      <c r="B2146">
        <v>24</v>
      </c>
      <c r="C2146">
        <v>6436</v>
      </c>
      <c r="D2146" s="308" t="s">
        <v>2718</v>
      </c>
      <c r="E2146" s="291">
        <v>10433</v>
      </c>
      <c r="F2146" s="291">
        <v>8266</v>
      </c>
      <c r="G2146" s="291">
        <v>2302</v>
      </c>
      <c r="H2146" s="287">
        <v>0.79229368350426499</v>
      </c>
      <c r="I2146" s="211">
        <v>8.1229365768896606</v>
      </c>
      <c r="J2146" s="211">
        <v>0.79151625653751001</v>
      </c>
      <c r="K2146" s="288">
        <v>8257.8891044558404</v>
      </c>
    </row>
    <row r="2147" spans="2:11" x14ac:dyDescent="0.2">
      <c r="B2147">
        <v>24</v>
      </c>
      <c r="C2147">
        <v>6437</v>
      </c>
      <c r="D2147" s="308" t="s">
        <v>2719</v>
      </c>
      <c r="E2147" s="291">
        <v>1294</v>
      </c>
      <c r="F2147" s="291">
        <v>502</v>
      </c>
      <c r="G2147" s="291">
        <v>1738</v>
      </c>
      <c r="H2147" s="287">
        <v>0.38794435857805298</v>
      </c>
      <c r="I2147" s="211">
        <v>1.0333716915995399</v>
      </c>
      <c r="J2147" s="211">
        <v>-0.317399496577841</v>
      </c>
      <c r="K2147" s="288">
        <v>-410.71494857172701</v>
      </c>
    </row>
    <row r="2148" spans="2:11" x14ac:dyDescent="0.2">
      <c r="B2148">
        <v>24</v>
      </c>
      <c r="C2148">
        <v>6451</v>
      </c>
      <c r="D2148" s="308" t="s">
        <v>2720</v>
      </c>
      <c r="E2148" s="291">
        <v>1594</v>
      </c>
      <c r="F2148" s="291">
        <v>738</v>
      </c>
      <c r="G2148" s="291">
        <v>464</v>
      </c>
      <c r="H2148" s="287">
        <v>0.46298619824341303</v>
      </c>
      <c r="I2148" s="211">
        <v>5.0258620689655196</v>
      </c>
      <c r="J2148" s="211">
        <v>-6.7280670697943398E-2</v>
      </c>
      <c r="K2148" s="288">
        <v>-107.245389092522</v>
      </c>
    </row>
    <row r="2149" spans="2:11" x14ac:dyDescent="0.2">
      <c r="B2149">
        <v>24</v>
      </c>
      <c r="C2149">
        <v>6452</v>
      </c>
      <c r="D2149" s="308" t="s">
        <v>2721</v>
      </c>
      <c r="E2149" s="291">
        <v>1921</v>
      </c>
      <c r="F2149" s="291">
        <v>1156</v>
      </c>
      <c r="G2149" s="291">
        <v>846</v>
      </c>
      <c r="H2149" s="287">
        <v>0.60176991150442505</v>
      </c>
      <c r="I2149" s="211">
        <v>3.6371158392435001</v>
      </c>
      <c r="J2149" s="211">
        <v>6.6520937659942395E-2</v>
      </c>
      <c r="K2149" s="288">
        <v>127.786721244749</v>
      </c>
    </row>
    <row r="2150" spans="2:11" x14ac:dyDescent="0.2">
      <c r="B2150">
        <v>24</v>
      </c>
      <c r="C2150">
        <v>6453</v>
      </c>
      <c r="D2150" s="308" t="s">
        <v>2722</v>
      </c>
      <c r="E2150" s="291">
        <v>274</v>
      </c>
      <c r="F2150" s="291">
        <v>45</v>
      </c>
      <c r="G2150" s="291">
        <v>955</v>
      </c>
      <c r="H2150" s="287">
        <v>0.16423357664233601</v>
      </c>
      <c r="I2150" s="211">
        <v>0.334031413612565</v>
      </c>
      <c r="J2150" s="211">
        <v>-0.65910310920225101</v>
      </c>
      <c r="K2150" s="288">
        <v>-180.594251921417</v>
      </c>
    </row>
    <row r="2151" spans="2:11" x14ac:dyDescent="0.2">
      <c r="B2151">
        <v>24</v>
      </c>
      <c r="C2151">
        <v>6454</v>
      </c>
      <c r="D2151" s="308" t="s">
        <v>2723</v>
      </c>
      <c r="E2151" s="291">
        <v>2639</v>
      </c>
      <c r="F2151" s="291">
        <v>662</v>
      </c>
      <c r="G2151" s="291">
        <v>216</v>
      </c>
      <c r="H2151" s="287">
        <v>0.25085259568018198</v>
      </c>
      <c r="I2151" s="211">
        <v>15.282407407407399</v>
      </c>
      <c r="J2151" s="211">
        <v>8.3992023355160997E-2</v>
      </c>
      <c r="K2151" s="288">
        <v>221.65494963427</v>
      </c>
    </row>
    <row r="2152" spans="2:11" x14ac:dyDescent="0.2">
      <c r="B2152">
        <v>24</v>
      </c>
      <c r="C2152">
        <v>6455</v>
      </c>
      <c r="D2152" s="308" t="s">
        <v>2724</v>
      </c>
      <c r="E2152" s="291">
        <v>4559</v>
      </c>
      <c r="F2152" s="291">
        <v>1135</v>
      </c>
      <c r="G2152" s="291">
        <v>1010</v>
      </c>
      <c r="H2152" s="287">
        <v>0.24895810484755401</v>
      </c>
      <c r="I2152" s="211">
        <v>5.63762376237624</v>
      </c>
      <c r="J2152" s="211">
        <v>-0.19688528338922401</v>
      </c>
      <c r="K2152" s="288">
        <v>-897.60000697147404</v>
      </c>
    </row>
    <row r="2153" spans="2:11" x14ac:dyDescent="0.2">
      <c r="B2153">
        <v>24</v>
      </c>
      <c r="C2153">
        <v>6456</v>
      </c>
      <c r="D2153" s="308" t="s">
        <v>2725</v>
      </c>
      <c r="E2153" s="291">
        <v>965</v>
      </c>
      <c r="F2153" s="291">
        <v>278</v>
      </c>
      <c r="G2153" s="291">
        <v>1251</v>
      </c>
      <c r="H2153" s="287">
        <v>0.28808290155440403</v>
      </c>
      <c r="I2153" s="211">
        <v>0.99360511590727396</v>
      </c>
      <c r="J2153" s="211">
        <v>-0.455166041097681</v>
      </c>
      <c r="K2153" s="288">
        <v>-439.23522965926202</v>
      </c>
    </row>
    <row r="2154" spans="2:11" x14ac:dyDescent="0.2">
      <c r="B2154">
        <v>24</v>
      </c>
      <c r="C2154">
        <v>6458</v>
      </c>
      <c r="D2154" s="308" t="s">
        <v>2726</v>
      </c>
      <c r="E2154" s="291">
        <v>33772</v>
      </c>
      <c r="F2154" s="291">
        <v>31690</v>
      </c>
      <c r="G2154" s="291">
        <v>1792</v>
      </c>
      <c r="H2154" s="287">
        <v>0.93835129693236996</v>
      </c>
      <c r="I2154" s="211">
        <v>36.530133928571402</v>
      </c>
      <c r="J2154" s="211">
        <v>2.9007188264008499</v>
      </c>
      <c r="K2154" s="288">
        <v>97963.076205209494</v>
      </c>
    </row>
    <row r="2155" spans="2:11" x14ac:dyDescent="0.2">
      <c r="B2155">
        <v>24</v>
      </c>
      <c r="C2155">
        <v>6459</v>
      </c>
      <c r="D2155" s="308" t="s">
        <v>2727</v>
      </c>
      <c r="E2155" s="291">
        <v>3232</v>
      </c>
      <c r="F2155" s="291">
        <v>1283</v>
      </c>
      <c r="G2155" s="291">
        <v>882</v>
      </c>
      <c r="H2155" s="287">
        <v>0.39696782178217799</v>
      </c>
      <c r="I2155" s="211">
        <v>5.1190476190476204</v>
      </c>
      <c r="J2155" s="211">
        <v>-8.3101271095550697E-2</v>
      </c>
      <c r="K2155" s="288">
        <v>-268.58330818081998</v>
      </c>
    </row>
    <row r="2156" spans="2:11" x14ac:dyDescent="0.2">
      <c r="B2156">
        <v>24</v>
      </c>
      <c r="C2156">
        <v>6461</v>
      </c>
      <c r="D2156" s="308" t="s">
        <v>2728</v>
      </c>
      <c r="E2156" s="291">
        <v>4967</v>
      </c>
      <c r="F2156" s="291">
        <v>4508</v>
      </c>
      <c r="G2156" s="291">
        <v>515</v>
      </c>
      <c r="H2156" s="287">
        <v>0.907590094624522</v>
      </c>
      <c r="I2156" s="211">
        <v>18.398058252427202</v>
      </c>
      <c r="J2156" s="211">
        <v>1.10042439038856</v>
      </c>
      <c r="K2156" s="288">
        <v>5465.8079470599596</v>
      </c>
    </row>
    <row r="2157" spans="2:11" x14ac:dyDescent="0.2">
      <c r="B2157">
        <v>24</v>
      </c>
      <c r="C2157">
        <v>6485</v>
      </c>
      <c r="D2157" s="308" t="s">
        <v>2729</v>
      </c>
      <c r="E2157" s="291">
        <v>506</v>
      </c>
      <c r="F2157" s="291">
        <v>107</v>
      </c>
      <c r="G2157" s="291">
        <v>373</v>
      </c>
      <c r="H2157" s="287">
        <v>0.21146245059288499</v>
      </c>
      <c r="I2157" s="211">
        <v>1.6434316353887399</v>
      </c>
      <c r="J2157" s="211">
        <v>-0.54394045009625802</v>
      </c>
      <c r="K2157" s="288">
        <v>-275.23386774870698</v>
      </c>
    </row>
    <row r="2158" spans="2:11" x14ac:dyDescent="0.2">
      <c r="B2158">
        <v>24</v>
      </c>
      <c r="C2158">
        <v>6487</v>
      </c>
      <c r="D2158" s="308" t="s">
        <v>2730</v>
      </c>
      <c r="E2158" s="291">
        <v>16832</v>
      </c>
      <c r="F2158" s="291">
        <v>6923</v>
      </c>
      <c r="G2158" s="291">
        <v>12405</v>
      </c>
      <c r="H2158" s="287">
        <v>0.41129990494296598</v>
      </c>
      <c r="I2158" s="211">
        <v>1.9149536477226901</v>
      </c>
      <c r="J2158" s="211">
        <v>0.33740529416156501</v>
      </c>
      <c r="K2158" s="288">
        <v>5679.2059113274599</v>
      </c>
    </row>
    <row r="2159" spans="2:11" x14ac:dyDescent="0.2">
      <c r="B2159">
        <v>24</v>
      </c>
      <c r="C2159">
        <v>6504</v>
      </c>
      <c r="D2159" s="308" t="s">
        <v>2731</v>
      </c>
      <c r="E2159" s="291">
        <v>454</v>
      </c>
      <c r="F2159" s="291">
        <v>331</v>
      </c>
      <c r="G2159" s="291">
        <v>1282</v>
      </c>
      <c r="H2159" s="287">
        <v>0.72907488986784097</v>
      </c>
      <c r="I2159" s="211">
        <v>0.61232449297971903</v>
      </c>
      <c r="J2159" s="211">
        <v>5.78592804227782E-2</v>
      </c>
      <c r="K2159" s="288">
        <v>26.268113311941299</v>
      </c>
    </row>
    <row r="2160" spans="2:11" x14ac:dyDescent="0.2">
      <c r="B2160">
        <v>24</v>
      </c>
      <c r="C2160">
        <v>6511</v>
      </c>
      <c r="D2160" s="308" t="s">
        <v>2732</v>
      </c>
      <c r="E2160" s="291">
        <v>706</v>
      </c>
      <c r="F2160" s="291">
        <v>204</v>
      </c>
      <c r="G2160" s="291">
        <v>2875</v>
      </c>
      <c r="H2160" s="287">
        <v>0.28895184135977298</v>
      </c>
      <c r="I2160" s="211">
        <v>0.31652173913043502</v>
      </c>
      <c r="J2160" s="211">
        <v>-0.48868906006838098</v>
      </c>
      <c r="K2160" s="288">
        <v>-345.01447640827701</v>
      </c>
    </row>
    <row r="2161" spans="2:11" x14ac:dyDescent="0.2">
      <c r="B2161">
        <v>24</v>
      </c>
      <c r="C2161">
        <v>6512</v>
      </c>
      <c r="D2161" s="308" t="s">
        <v>2733</v>
      </c>
      <c r="E2161" s="291">
        <v>10950</v>
      </c>
      <c r="F2161" s="291">
        <v>5409</v>
      </c>
      <c r="G2161" s="291">
        <v>12374</v>
      </c>
      <c r="H2161" s="287">
        <v>0.49397260273972599</v>
      </c>
      <c r="I2161" s="211">
        <v>1.32204622595765</v>
      </c>
      <c r="J2161" s="211">
        <v>0.193469889271009</v>
      </c>
      <c r="K2161" s="288">
        <v>2118.49528751754</v>
      </c>
    </row>
    <row r="2162" spans="2:11" x14ac:dyDescent="0.2">
      <c r="B2162">
        <v>25</v>
      </c>
      <c r="C2162">
        <v>6601</v>
      </c>
      <c r="D2162" s="308" t="s">
        <v>2734</v>
      </c>
      <c r="E2162" s="291">
        <v>1163</v>
      </c>
      <c r="F2162" s="291">
        <v>403</v>
      </c>
      <c r="G2162" s="291">
        <v>246</v>
      </c>
      <c r="H2162" s="287">
        <v>0.34651762682717102</v>
      </c>
      <c r="I2162" s="211">
        <v>6.3658536585365901</v>
      </c>
      <c r="J2162" s="211">
        <v>-0.179182763143444</v>
      </c>
      <c r="K2162" s="288">
        <v>-208.389553535825</v>
      </c>
    </row>
    <row r="2163" spans="2:11" x14ac:dyDescent="0.2">
      <c r="B2163">
        <v>25</v>
      </c>
      <c r="C2163">
        <v>6602</v>
      </c>
      <c r="D2163" s="308" t="s">
        <v>2735</v>
      </c>
      <c r="E2163" s="291">
        <v>2495</v>
      </c>
      <c r="F2163" s="291">
        <v>386</v>
      </c>
      <c r="G2163" s="291">
        <v>381</v>
      </c>
      <c r="H2163" s="287">
        <v>0.154709418837675</v>
      </c>
      <c r="I2163" s="211">
        <v>7.5616797900262496</v>
      </c>
      <c r="J2163" s="211">
        <v>-0.32233964371002599</v>
      </c>
      <c r="K2163" s="288">
        <v>-804.23741105651402</v>
      </c>
    </row>
    <row r="2164" spans="2:11" x14ac:dyDescent="0.2">
      <c r="B2164">
        <v>25</v>
      </c>
      <c r="C2164">
        <v>6603</v>
      </c>
      <c r="D2164" s="308" t="s">
        <v>2736</v>
      </c>
      <c r="E2164" s="291">
        <v>1761</v>
      </c>
      <c r="F2164" s="291">
        <v>212</v>
      </c>
      <c r="G2164" s="291">
        <v>433</v>
      </c>
      <c r="H2164" s="287">
        <v>0.120386144236229</v>
      </c>
      <c r="I2164" s="211">
        <v>4.5565819861431898</v>
      </c>
      <c r="J2164" s="211">
        <v>-0.50255917342182799</v>
      </c>
      <c r="K2164" s="288">
        <v>-885.00670439583905</v>
      </c>
    </row>
    <row r="2165" spans="2:11" x14ac:dyDescent="0.2">
      <c r="B2165">
        <v>25</v>
      </c>
      <c r="C2165">
        <v>6604</v>
      </c>
      <c r="D2165" s="308" t="s">
        <v>2737</v>
      </c>
      <c r="E2165" s="291">
        <v>1405</v>
      </c>
      <c r="F2165" s="291">
        <v>209</v>
      </c>
      <c r="G2165" s="291">
        <v>513</v>
      </c>
      <c r="H2165" s="287">
        <v>0.14875444839857699</v>
      </c>
      <c r="I2165" s="211">
        <v>3.14619883040936</v>
      </c>
      <c r="J2165" s="211">
        <v>-0.53246687685364003</v>
      </c>
      <c r="K2165" s="288">
        <v>-748.11596197936399</v>
      </c>
    </row>
    <row r="2166" spans="2:11" x14ac:dyDescent="0.2">
      <c r="B2166">
        <v>25</v>
      </c>
      <c r="C2166">
        <v>6605</v>
      </c>
      <c r="D2166" s="308" t="s">
        <v>2738</v>
      </c>
      <c r="E2166" s="291">
        <v>2244</v>
      </c>
      <c r="F2166" s="291">
        <v>457</v>
      </c>
      <c r="G2166" s="291">
        <v>502</v>
      </c>
      <c r="H2166" s="287">
        <v>0.203654188948307</v>
      </c>
      <c r="I2166" s="211">
        <v>5.3804780876493998</v>
      </c>
      <c r="J2166" s="211">
        <v>-0.35086120618831201</v>
      </c>
      <c r="K2166" s="288">
        <v>-787.33254668657105</v>
      </c>
    </row>
    <row r="2167" spans="2:11" x14ac:dyDescent="0.2">
      <c r="B2167">
        <v>25</v>
      </c>
      <c r="C2167">
        <v>6606</v>
      </c>
      <c r="D2167" s="308" t="s">
        <v>2739</v>
      </c>
      <c r="E2167" s="291">
        <v>3348</v>
      </c>
      <c r="F2167" s="291">
        <v>1306</v>
      </c>
      <c r="G2167" s="291">
        <v>434</v>
      </c>
      <c r="H2167" s="287">
        <v>0.390083632019116</v>
      </c>
      <c r="I2167" s="211">
        <v>10.7235023041475</v>
      </c>
      <c r="J2167" s="211">
        <v>0.117280061176192</v>
      </c>
      <c r="K2167" s="288">
        <v>392.65364481788998</v>
      </c>
    </row>
    <row r="2168" spans="2:11" x14ac:dyDescent="0.2">
      <c r="B2168">
        <v>25</v>
      </c>
      <c r="C2168">
        <v>6607</v>
      </c>
      <c r="D2168" s="308" t="s">
        <v>2740</v>
      </c>
      <c r="E2168" s="291">
        <v>10045</v>
      </c>
      <c r="F2168" s="291">
        <v>2531</v>
      </c>
      <c r="G2168" s="291">
        <v>1244</v>
      </c>
      <c r="H2168" s="287">
        <v>0.25196615231458402</v>
      </c>
      <c r="I2168" s="211">
        <v>10.1093247588424</v>
      </c>
      <c r="J2168" s="211">
        <v>0.179610255921378</v>
      </c>
      <c r="K2168" s="288">
        <v>1804.18502073025</v>
      </c>
    </row>
    <row r="2169" spans="2:11" x14ac:dyDescent="0.2">
      <c r="B2169">
        <v>25</v>
      </c>
      <c r="C2169">
        <v>6608</v>
      </c>
      <c r="D2169" s="308" t="s">
        <v>2741</v>
      </c>
      <c r="E2169" s="291">
        <v>21868</v>
      </c>
      <c r="F2169" s="291">
        <v>24347</v>
      </c>
      <c r="G2169" s="291">
        <v>261</v>
      </c>
      <c r="H2169" s="287">
        <v>1.11336199012255</v>
      </c>
      <c r="I2169" s="211">
        <v>177.068965517241</v>
      </c>
      <c r="J2169" s="211">
        <v>7.7903282803838403</v>
      </c>
      <c r="K2169" s="288">
        <v>170358.898835434</v>
      </c>
    </row>
    <row r="2170" spans="2:11" x14ac:dyDescent="0.2">
      <c r="B2170">
        <v>25</v>
      </c>
      <c r="C2170">
        <v>6609</v>
      </c>
      <c r="D2170" s="308" t="s">
        <v>2742</v>
      </c>
      <c r="E2170" s="291">
        <v>894</v>
      </c>
      <c r="F2170" s="291">
        <v>241</v>
      </c>
      <c r="G2170" s="291">
        <v>422</v>
      </c>
      <c r="H2170" s="287">
        <v>0.269574944071588</v>
      </c>
      <c r="I2170" s="211">
        <v>2.68957345971564</v>
      </c>
      <c r="J2170" s="211">
        <v>-0.41893555906895302</v>
      </c>
      <c r="K2170" s="288">
        <v>-374.52838980764398</v>
      </c>
    </row>
    <row r="2171" spans="2:11" x14ac:dyDescent="0.2">
      <c r="B2171">
        <v>25</v>
      </c>
      <c r="C2171">
        <v>6610</v>
      </c>
      <c r="D2171" s="308" t="s">
        <v>2743</v>
      </c>
      <c r="E2171" s="291">
        <v>766</v>
      </c>
      <c r="F2171" s="291">
        <v>84</v>
      </c>
      <c r="G2171" s="291">
        <v>466</v>
      </c>
      <c r="H2171" s="287">
        <v>0.109660574412533</v>
      </c>
      <c r="I2171" s="211">
        <v>1.82403433476395</v>
      </c>
      <c r="J2171" s="211">
        <v>-0.65356589688003797</v>
      </c>
      <c r="K2171" s="288">
        <v>-500.63147701010899</v>
      </c>
    </row>
    <row r="2172" spans="2:11" x14ac:dyDescent="0.2">
      <c r="B2172">
        <v>25</v>
      </c>
      <c r="C2172">
        <v>6611</v>
      </c>
      <c r="D2172" s="308" t="s">
        <v>2744</v>
      </c>
      <c r="E2172" s="291">
        <v>1647</v>
      </c>
      <c r="F2172" s="291">
        <v>119</v>
      </c>
      <c r="G2172" s="291">
        <v>512</v>
      </c>
      <c r="H2172" s="287">
        <v>7.2252580449301801E-2</v>
      </c>
      <c r="I2172" s="211">
        <v>3.44921875</v>
      </c>
      <c r="J2172" s="211">
        <v>-0.60696281361271798</v>
      </c>
      <c r="K2172" s="288">
        <v>-999.66775402014605</v>
      </c>
    </row>
    <row r="2173" spans="2:11" x14ac:dyDescent="0.2">
      <c r="B2173">
        <v>25</v>
      </c>
      <c r="C2173">
        <v>6612</v>
      </c>
      <c r="D2173" s="308" t="s">
        <v>2745</v>
      </c>
      <c r="E2173" s="291">
        <v>11489</v>
      </c>
      <c r="F2173" s="291">
        <v>4594</v>
      </c>
      <c r="G2173" s="291">
        <v>410</v>
      </c>
      <c r="H2173" s="287">
        <v>0.39986073635651498</v>
      </c>
      <c r="I2173" s="211">
        <v>39.226829268292697</v>
      </c>
      <c r="J2173" s="211">
        <v>1.48040850105702</v>
      </c>
      <c r="K2173" s="288">
        <v>17008.413268644101</v>
      </c>
    </row>
    <row r="2174" spans="2:11" x14ac:dyDescent="0.2">
      <c r="B2174">
        <v>25</v>
      </c>
      <c r="C2174">
        <v>6613</v>
      </c>
      <c r="D2174" s="308" t="s">
        <v>2746</v>
      </c>
      <c r="E2174" s="291">
        <v>8559</v>
      </c>
      <c r="F2174" s="291">
        <v>2991</v>
      </c>
      <c r="G2174" s="291">
        <v>125</v>
      </c>
      <c r="H2174" s="287">
        <v>0.349456712232737</v>
      </c>
      <c r="I2174" s="211">
        <v>92.4</v>
      </c>
      <c r="J2174" s="211">
        <v>3.2460299006137001</v>
      </c>
      <c r="K2174" s="288">
        <v>27782.769919352701</v>
      </c>
    </row>
    <row r="2175" spans="2:11" x14ac:dyDescent="0.2">
      <c r="B2175">
        <v>25</v>
      </c>
      <c r="C2175">
        <v>6614</v>
      </c>
      <c r="D2175" s="308" t="s">
        <v>2747</v>
      </c>
      <c r="E2175" s="291">
        <v>1115</v>
      </c>
      <c r="F2175" s="291">
        <v>152</v>
      </c>
      <c r="G2175" s="291">
        <v>382</v>
      </c>
      <c r="H2175" s="287">
        <v>0.13632286995515699</v>
      </c>
      <c r="I2175" s="211">
        <v>3.31675392670157</v>
      </c>
      <c r="J2175" s="211">
        <v>-0.55272965177493305</v>
      </c>
      <c r="K2175" s="288">
        <v>-616.29356172905</v>
      </c>
    </row>
    <row r="2176" spans="2:11" x14ac:dyDescent="0.2">
      <c r="B2176">
        <v>25</v>
      </c>
      <c r="C2176">
        <v>6615</v>
      </c>
      <c r="D2176" s="308" t="s">
        <v>2748</v>
      </c>
      <c r="E2176" s="291">
        <v>1671</v>
      </c>
      <c r="F2176" s="291">
        <v>209</v>
      </c>
      <c r="G2176" s="291">
        <v>682</v>
      </c>
      <c r="H2176" s="287">
        <v>0.125074805505685</v>
      </c>
      <c r="I2176" s="211">
        <v>2.7565982404692102</v>
      </c>
      <c r="J2176" s="211">
        <v>-0.565860779674069</v>
      </c>
      <c r="K2176" s="288">
        <v>-945.55336283536997</v>
      </c>
    </row>
    <row r="2177" spans="2:11" x14ac:dyDescent="0.2">
      <c r="B2177">
        <v>25</v>
      </c>
      <c r="C2177">
        <v>6616</v>
      </c>
      <c r="D2177" s="308" t="s">
        <v>2749</v>
      </c>
      <c r="E2177" s="291">
        <v>8067</v>
      </c>
      <c r="F2177" s="291">
        <v>4125</v>
      </c>
      <c r="G2177" s="291">
        <v>611</v>
      </c>
      <c r="H2177" s="287">
        <v>0.51134250650799595</v>
      </c>
      <c r="I2177" s="211">
        <v>19.954173486088401</v>
      </c>
      <c r="J2177" s="211">
        <v>0.78463312295354404</v>
      </c>
      <c r="K2177" s="288">
        <v>6329.6354028662399</v>
      </c>
    </row>
    <row r="2178" spans="2:11" x14ac:dyDescent="0.2">
      <c r="B2178">
        <v>25</v>
      </c>
      <c r="C2178">
        <v>6617</v>
      </c>
      <c r="D2178" s="308" t="s">
        <v>2750</v>
      </c>
      <c r="E2178" s="291">
        <v>5461</v>
      </c>
      <c r="F2178" s="291">
        <v>1901</v>
      </c>
      <c r="G2178" s="291">
        <v>367</v>
      </c>
      <c r="H2178" s="287">
        <v>0.34810474272111303</v>
      </c>
      <c r="I2178" s="211">
        <v>20.059945504087199</v>
      </c>
      <c r="J2178" s="211">
        <v>0.48663997448826202</v>
      </c>
      <c r="K2178" s="288">
        <v>2657.5409006804002</v>
      </c>
    </row>
    <row r="2179" spans="2:11" x14ac:dyDescent="0.2">
      <c r="B2179">
        <v>25</v>
      </c>
      <c r="C2179">
        <v>6618</v>
      </c>
      <c r="D2179" s="308" t="s">
        <v>2751</v>
      </c>
      <c r="E2179" s="291">
        <v>4587</v>
      </c>
      <c r="F2179" s="291">
        <v>979</v>
      </c>
      <c r="G2179" s="291">
        <v>273</v>
      </c>
      <c r="H2179" s="287">
        <v>0.213429256594724</v>
      </c>
      <c r="I2179" s="211">
        <v>20.388278388278401</v>
      </c>
      <c r="J2179" s="211">
        <v>0.29833915639227998</v>
      </c>
      <c r="K2179" s="288">
        <v>1368.4817103713899</v>
      </c>
    </row>
    <row r="2180" spans="2:11" x14ac:dyDescent="0.2">
      <c r="B2180">
        <v>25</v>
      </c>
      <c r="C2180">
        <v>6619</v>
      </c>
      <c r="D2180" s="308" t="s">
        <v>2752</v>
      </c>
      <c r="E2180" s="291">
        <v>2029</v>
      </c>
      <c r="F2180" s="291">
        <v>302</v>
      </c>
      <c r="G2180" s="291">
        <v>276</v>
      </c>
      <c r="H2180" s="287">
        <v>0.148841793987186</v>
      </c>
      <c r="I2180" s="211">
        <v>8.4456521739130395</v>
      </c>
      <c r="J2180" s="211">
        <v>-0.31516429370674198</v>
      </c>
      <c r="K2180" s="288">
        <v>-639.468351930979</v>
      </c>
    </row>
    <row r="2181" spans="2:11" x14ac:dyDescent="0.2">
      <c r="B2181">
        <v>25</v>
      </c>
      <c r="C2181">
        <v>6620</v>
      </c>
      <c r="D2181" s="308" t="s">
        <v>2753</v>
      </c>
      <c r="E2181" s="291">
        <v>1782</v>
      </c>
      <c r="F2181" s="291">
        <v>484</v>
      </c>
      <c r="G2181" s="291">
        <v>835</v>
      </c>
      <c r="H2181" s="287">
        <v>0.27160493827160498</v>
      </c>
      <c r="I2181" s="211">
        <v>2.7137724550898201</v>
      </c>
      <c r="J2181" s="211">
        <v>-0.38160714882340202</v>
      </c>
      <c r="K2181" s="288">
        <v>-680.02393920330303</v>
      </c>
    </row>
    <row r="2182" spans="2:11" x14ac:dyDescent="0.2">
      <c r="B2182">
        <v>25</v>
      </c>
      <c r="C2182">
        <v>6621</v>
      </c>
      <c r="D2182" s="308" t="s">
        <v>2754</v>
      </c>
      <c r="E2182" s="291">
        <v>198979</v>
      </c>
      <c r="F2182" s="291">
        <v>190626</v>
      </c>
      <c r="G2182" s="291">
        <v>1538</v>
      </c>
      <c r="H2182" s="287">
        <v>0.95802069565129999</v>
      </c>
      <c r="I2182" s="211">
        <v>253.31924577373201</v>
      </c>
      <c r="J2182" s="211">
        <v>17.147159333925501</v>
      </c>
      <c r="K2182" s="288">
        <v>3411924.6171051702</v>
      </c>
    </row>
    <row r="2183" spans="2:11" x14ac:dyDescent="0.2">
      <c r="B2183">
        <v>25</v>
      </c>
      <c r="C2183">
        <v>6622</v>
      </c>
      <c r="D2183" s="308" t="s">
        <v>2755</v>
      </c>
      <c r="E2183" s="291">
        <v>2721</v>
      </c>
      <c r="F2183" s="291">
        <v>791</v>
      </c>
      <c r="G2183" s="291">
        <v>281</v>
      </c>
      <c r="H2183" s="287">
        <v>0.290701947813304</v>
      </c>
      <c r="I2183" s="211">
        <v>12.4982206405694</v>
      </c>
      <c r="J2183" s="211">
        <v>3.49234649918597E-2</v>
      </c>
      <c r="K2183" s="288">
        <v>95.026748242850303</v>
      </c>
    </row>
    <row r="2184" spans="2:11" x14ac:dyDescent="0.2">
      <c r="B2184">
        <v>25</v>
      </c>
      <c r="C2184">
        <v>6623</v>
      </c>
      <c r="D2184" s="308" t="s">
        <v>2756</v>
      </c>
      <c r="E2184" s="291">
        <v>12075</v>
      </c>
      <c r="F2184" s="291">
        <v>12732</v>
      </c>
      <c r="G2184" s="291">
        <v>436</v>
      </c>
      <c r="H2184" s="287">
        <v>1.0544099378881999</v>
      </c>
      <c r="I2184" s="211">
        <v>56.896788990825698</v>
      </c>
      <c r="J2184" s="211">
        <v>2.9585852473934402</v>
      </c>
      <c r="K2184" s="288">
        <v>35724.916862275699</v>
      </c>
    </row>
    <row r="2185" spans="2:11" x14ac:dyDescent="0.2">
      <c r="B2185">
        <v>25</v>
      </c>
      <c r="C2185">
        <v>6624</v>
      </c>
      <c r="D2185" s="308" t="s">
        <v>2757</v>
      </c>
      <c r="E2185" s="291">
        <v>483</v>
      </c>
      <c r="F2185" s="291">
        <v>99</v>
      </c>
      <c r="G2185" s="291">
        <v>312</v>
      </c>
      <c r="H2185" s="287">
        <v>0.20496894409937899</v>
      </c>
      <c r="I2185" s="211">
        <v>1.8653846153846201</v>
      </c>
      <c r="J2185" s="211">
        <v>-0.54476778849164398</v>
      </c>
      <c r="K2185" s="288">
        <v>-263.12284184146398</v>
      </c>
    </row>
    <row r="2186" spans="2:11" x14ac:dyDescent="0.2">
      <c r="B2186">
        <v>25</v>
      </c>
      <c r="C2186">
        <v>6625</v>
      </c>
      <c r="D2186" s="308" t="s">
        <v>2758</v>
      </c>
      <c r="E2186" s="291">
        <v>1014</v>
      </c>
      <c r="F2186" s="291">
        <v>186</v>
      </c>
      <c r="G2186" s="291">
        <v>142</v>
      </c>
      <c r="H2186" s="287">
        <v>0.183431952662722</v>
      </c>
      <c r="I2186" s="211">
        <v>8.4507042253521103</v>
      </c>
      <c r="J2186" s="211">
        <v>-0.310899695581763</v>
      </c>
      <c r="K2186" s="288">
        <v>-315.25229131990801</v>
      </c>
    </row>
    <row r="2187" spans="2:11" x14ac:dyDescent="0.2">
      <c r="B2187">
        <v>25</v>
      </c>
      <c r="C2187">
        <v>6626</v>
      </c>
      <c r="D2187" s="308" t="s">
        <v>2759</v>
      </c>
      <c r="E2187" s="291">
        <v>1264</v>
      </c>
      <c r="F2187" s="291">
        <v>347</v>
      </c>
      <c r="G2187" s="291">
        <v>1129</v>
      </c>
      <c r="H2187" s="287">
        <v>0.274525316455696</v>
      </c>
      <c r="I2187" s="211">
        <v>1.42692648361382</v>
      </c>
      <c r="J2187" s="211">
        <v>-0.44473166442932199</v>
      </c>
      <c r="K2187" s="288">
        <v>-562.14082383866298</v>
      </c>
    </row>
    <row r="2188" spans="2:11" x14ac:dyDescent="0.2">
      <c r="B2188">
        <v>25</v>
      </c>
      <c r="C2188">
        <v>6627</v>
      </c>
      <c r="D2188" s="308" t="s">
        <v>2760</v>
      </c>
      <c r="E2188" s="291">
        <v>654</v>
      </c>
      <c r="F2188" s="291">
        <v>111</v>
      </c>
      <c r="G2188" s="291">
        <v>379</v>
      </c>
      <c r="H2188" s="287">
        <v>0.16972477064220201</v>
      </c>
      <c r="I2188" s="211">
        <v>2.0184696569920799</v>
      </c>
      <c r="J2188" s="211">
        <v>-0.57632194637636502</v>
      </c>
      <c r="K2188" s="288">
        <v>-376.91455293014297</v>
      </c>
    </row>
    <row r="2189" spans="2:11" x14ac:dyDescent="0.2">
      <c r="B2189">
        <v>25</v>
      </c>
      <c r="C2189">
        <v>6628</v>
      </c>
      <c r="D2189" s="308" t="s">
        <v>2761</v>
      </c>
      <c r="E2189" s="291">
        <v>31661</v>
      </c>
      <c r="F2189" s="291">
        <v>19343</v>
      </c>
      <c r="G2189" s="291">
        <v>478</v>
      </c>
      <c r="H2189" s="287">
        <v>0.61094090521461697</v>
      </c>
      <c r="I2189" s="211">
        <v>106.70292887029299</v>
      </c>
      <c r="J2189" s="211">
        <v>4.9746121864135402</v>
      </c>
      <c r="K2189" s="288">
        <v>157501.19643403901</v>
      </c>
    </row>
    <row r="2190" spans="2:11" x14ac:dyDescent="0.2">
      <c r="B2190">
        <v>25</v>
      </c>
      <c r="C2190">
        <v>6629</v>
      </c>
      <c r="D2190" s="308" t="s">
        <v>2762</v>
      </c>
      <c r="E2190" s="291">
        <v>2146</v>
      </c>
      <c r="F2190" s="291">
        <v>809</v>
      </c>
      <c r="G2190" s="291">
        <v>679</v>
      </c>
      <c r="H2190" s="287">
        <v>0.37698042870456699</v>
      </c>
      <c r="I2190" s="211">
        <v>4.3519882179675999</v>
      </c>
      <c r="J2190" s="211">
        <v>-0.17735073497291701</v>
      </c>
      <c r="K2190" s="288">
        <v>-380.59467725188</v>
      </c>
    </row>
    <row r="2191" spans="2:11" x14ac:dyDescent="0.2">
      <c r="B2191">
        <v>25</v>
      </c>
      <c r="C2191">
        <v>6630</v>
      </c>
      <c r="D2191" s="308" t="s">
        <v>2763</v>
      </c>
      <c r="E2191" s="291">
        <v>23044</v>
      </c>
      <c r="F2191" s="291">
        <v>27300</v>
      </c>
      <c r="G2191" s="291">
        <v>980</v>
      </c>
      <c r="H2191" s="287">
        <v>1.1846901579586899</v>
      </c>
      <c r="I2191" s="211">
        <v>51.371428571428602</v>
      </c>
      <c r="J2191" s="211">
        <v>3.3375495918780702</v>
      </c>
      <c r="K2191" s="288">
        <v>76910.4927952383</v>
      </c>
    </row>
    <row r="2192" spans="2:11" x14ac:dyDescent="0.2">
      <c r="B2192">
        <v>25</v>
      </c>
      <c r="C2192">
        <v>6631</v>
      </c>
      <c r="D2192" s="308" t="s">
        <v>2764</v>
      </c>
      <c r="E2192" s="291">
        <v>18825</v>
      </c>
      <c r="F2192" s="291">
        <v>4223</v>
      </c>
      <c r="G2192" s="291">
        <v>271</v>
      </c>
      <c r="H2192" s="287">
        <v>0.224329349269588</v>
      </c>
      <c r="I2192" s="211">
        <v>85.047970479704802</v>
      </c>
      <c r="J2192" s="211">
        <v>3.2149946721726699</v>
      </c>
      <c r="K2192" s="288">
        <v>60522.274703650502</v>
      </c>
    </row>
    <row r="2193" spans="2:11" x14ac:dyDescent="0.2">
      <c r="B2193">
        <v>25</v>
      </c>
      <c r="C2193">
        <v>6632</v>
      </c>
      <c r="D2193" s="308" t="s">
        <v>2765</v>
      </c>
      <c r="E2193" s="291">
        <v>3028</v>
      </c>
      <c r="F2193" s="291">
        <v>1606</v>
      </c>
      <c r="G2193" s="291">
        <v>254</v>
      </c>
      <c r="H2193" s="287">
        <v>0.53038309114927296</v>
      </c>
      <c r="I2193" s="211">
        <v>18.244094488188999</v>
      </c>
      <c r="J2193" s="211">
        <v>0.55329743415569299</v>
      </c>
      <c r="K2193" s="288">
        <v>1675.38463062344</v>
      </c>
    </row>
    <row r="2194" spans="2:11" x14ac:dyDescent="0.2">
      <c r="B2194">
        <v>25</v>
      </c>
      <c r="C2194">
        <v>6633</v>
      </c>
      <c r="D2194" s="308" t="s">
        <v>2766</v>
      </c>
      <c r="E2194" s="291">
        <v>10571</v>
      </c>
      <c r="F2194" s="291">
        <v>14554</v>
      </c>
      <c r="G2194" s="291">
        <v>578</v>
      </c>
      <c r="H2194" s="287">
        <v>1.37678554535995</v>
      </c>
      <c r="I2194" s="211">
        <v>43.468858131487899</v>
      </c>
      <c r="J2194" s="211">
        <v>2.8106736979483502</v>
      </c>
      <c r="K2194" s="288">
        <v>29711.631661012099</v>
      </c>
    </row>
    <row r="2195" spans="2:11" x14ac:dyDescent="0.2">
      <c r="B2195">
        <v>25</v>
      </c>
      <c r="C2195">
        <v>6634</v>
      </c>
      <c r="D2195" s="308" t="s">
        <v>2767</v>
      </c>
      <c r="E2195" s="291">
        <v>3794</v>
      </c>
      <c r="F2195" s="291">
        <v>3534</v>
      </c>
      <c r="G2195" s="291">
        <v>322</v>
      </c>
      <c r="H2195" s="287">
        <v>0.93147074327886104</v>
      </c>
      <c r="I2195" s="211">
        <v>22.757763975155299</v>
      </c>
      <c r="J2195" s="211">
        <v>1.2442614809219099</v>
      </c>
      <c r="K2195" s="288">
        <v>4720.7280586177203</v>
      </c>
    </row>
    <row r="2196" spans="2:11" x14ac:dyDescent="0.2">
      <c r="B2196">
        <v>25</v>
      </c>
      <c r="C2196">
        <v>6635</v>
      </c>
      <c r="D2196" s="308" t="s">
        <v>2768</v>
      </c>
      <c r="E2196" s="291">
        <v>649</v>
      </c>
      <c r="F2196" s="291">
        <v>206</v>
      </c>
      <c r="G2196" s="291">
        <v>469</v>
      </c>
      <c r="H2196" s="287">
        <v>0.31741140215716501</v>
      </c>
      <c r="I2196" s="211">
        <v>1.82302771855011</v>
      </c>
      <c r="J2196" s="211">
        <v>-0.400635753744916</v>
      </c>
      <c r="K2196" s="288">
        <v>-260.01260418045001</v>
      </c>
    </row>
    <row r="2197" spans="2:11" x14ac:dyDescent="0.2">
      <c r="B2197">
        <v>25</v>
      </c>
      <c r="C2197">
        <v>6636</v>
      </c>
      <c r="D2197" s="308" t="s">
        <v>2769</v>
      </c>
      <c r="E2197" s="291">
        <v>2345</v>
      </c>
      <c r="F2197" s="291">
        <v>962</v>
      </c>
      <c r="G2197" s="291">
        <v>264</v>
      </c>
      <c r="H2197" s="287">
        <v>0.41023454157782502</v>
      </c>
      <c r="I2197" s="211">
        <v>12.5265151515152</v>
      </c>
      <c r="J2197" s="211">
        <v>0.169709540305231</v>
      </c>
      <c r="K2197" s="288">
        <v>397.96887201576601</v>
      </c>
    </row>
    <row r="2198" spans="2:11" x14ac:dyDescent="0.2">
      <c r="B2198">
        <v>25</v>
      </c>
      <c r="C2198">
        <v>6637</v>
      </c>
      <c r="D2198" s="308" t="s">
        <v>2770</v>
      </c>
      <c r="E2198" s="291">
        <v>540</v>
      </c>
      <c r="F2198" s="291">
        <v>120</v>
      </c>
      <c r="G2198" s="291">
        <v>430</v>
      </c>
      <c r="H2198" s="287">
        <v>0.22222222222222199</v>
      </c>
      <c r="I2198" s="211">
        <v>1.53488372093023</v>
      </c>
      <c r="J2198" s="211">
        <v>-0.53326859772930901</v>
      </c>
      <c r="K2198" s="288">
        <v>-287.96504277382701</v>
      </c>
    </row>
    <row r="2199" spans="2:11" x14ac:dyDescent="0.2">
      <c r="B2199">
        <v>25</v>
      </c>
      <c r="C2199">
        <v>6638</v>
      </c>
      <c r="D2199" s="308" t="s">
        <v>2771</v>
      </c>
      <c r="E2199" s="291">
        <v>4102</v>
      </c>
      <c r="F2199" s="291">
        <v>8765</v>
      </c>
      <c r="G2199" s="291">
        <v>1839</v>
      </c>
      <c r="H2199" s="287">
        <v>2.1367625548512899</v>
      </c>
      <c r="I2199" s="211">
        <v>6.9967373572593798</v>
      </c>
      <c r="J2199" s="211">
        <v>2.1745401211718498</v>
      </c>
      <c r="K2199" s="288">
        <v>8919.9635770469395</v>
      </c>
    </row>
    <row r="2200" spans="2:11" x14ac:dyDescent="0.2">
      <c r="B2200">
        <v>25</v>
      </c>
      <c r="C2200">
        <v>6639</v>
      </c>
      <c r="D2200" s="308" t="s">
        <v>2772</v>
      </c>
      <c r="E2200" s="291">
        <v>767</v>
      </c>
      <c r="F2200" s="291">
        <v>156</v>
      </c>
      <c r="G2200" s="291">
        <v>292</v>
      </c>
      <c r="H2200" s="287">
        <v>0.20338983050847501</v>
      </c>
      <c r="I2200" s="211">
        <v>3.1609589041095898</v>
      </c>
      <c r="J2200" s="211">
        <v>-0.48860378731148901</v>
      </c>
      <c r="K2200" s="288">
        <v>-374.75910486791201</v>
      </c>
    </row>
    <row r="2201" spans="2:11" x14ac:dyDescent="0.2">
      <c r="B2201">
        <v>25</v>
      </c>
      <c r="C2201">
        <v>6640</v>
      </c>
      <c r="D2201" s="308" t="s">
        <v>2773</v>
      </c>
      <c r="E2201" s="291">
        <v>13906</v>
      </c>
      <c r="F2201" s="291">
        <v>5769</v>
      </c>
      <c r="G2201" s="291">
        <v>380</v>
      </c>
      <c r="H2201" s="287">
        <v>0.414856896303754</v>
      </c>
      <c r="I2201" s="211">
        <v>51.776315789473699</v>
      </c>
      <c r="J2201" s="211">
        <v>2.0492140739583502</v>
      </c>
      <c r="K2201" s="288">
        <v>28496.370912464801</v>
      </c>
    </row>
    <row r="2202" spans="2:11" x14ac:dyDescent="0.2">
      <c r="B2202">
        <v>25</v>
      </c>
      <c r="C2202">
        <v>6641</v>
      </c>
      <c r="D2202" s="308" t="s">
        <v>2774</v>
      </c>
      <c r="E2202" s="291">
        <v>2274</v>
      </c>
      <c r="F2202" s="291">
        <v>496</v>
      </c>
      <c r="G2202" s="291">
        <v>344</v>
      </c>
      <c r="H2202" s="287">
        <v>0.21811785400175901</v>
      </c>
      <c r="I2202" s="211">
        <v>8.0523255813953494</v>
      </c>
      <c r="J2202" s="211">
        <v>-0.23430916486496101</v>
      </c>
      <c r="K2202" s="288">
        <v>-532.81904090292198</v>
      </c>
    </row>
    <row r="2203" spans="2:11" x14ac:dyDescent="0.2">
      <c r="B2203">
        <v>25</v>
      </c>
      <c r="C2203">
        <v>6642</v>
      </c>
      <c r="D2203" s="308" t="s">
        <v>2775</v>
      </c>
      <c r="E2203" s="291">
        <v>2521</v>
      </c>
      <c r="F2203" s="291">
        <v>537</v>
      </c>
      <c r="G2203" s="291">
        <v>443</v>
      </c>
      <c r="H2203" s="287">
        <v>0.21301071003569999</v>
      </c>
      <c r="I2203" s="211">
        <v>6.9029345372460504</v>
      </c>
      <c r="J2203" s="211">
        <v>-0.27313578283169099</v>
      </c>
      <c r="K2203" s="288">
        <v>-688.57530851869296</v>
      </c>
    </row>
    <row r="2204" spans="2:11" x14ac:dyDescent="0.2">
      <c r="B2204">
        <v>25</v>
      </c>
      <c r="C2204">
        <v>6643</v>
      </c>
      <c r="D2204" s="308" t="s">
        <v>2776</v>
      </c>
      <c r="E2204" s="291">
        <v>34983</v>
      </c>
      <c r="F2204" s="291">
        <v>20026</v>
      </c>
      <c r="G2204" s="291">
        <v>732</v>
      </c>
      <c r="H2204" s="287">
        <v>0.57244947545950897</v>
      </c>
      <c r="I2204" s="211">
        <v>75.148907103825096</v>
      </c>
      <c r="J2204" s="211">
        <v>3.9025919092549901</v>
      </c>
      <c r="K2204" s="288">
        <v>136524.37276146701</v>
      </c>
    </row>
    <row r="2205" spans="2:11" x14ac:dyDescent="0.2">
      <c r="B2205">
        <v>25</v>
      </c>
      <c r="C2205">
        <v>6644</v>
      </c>
      <c r="D2205" s="308" t="s">
        <v>2777</v>
      </c>
      <c r="E2205" s="291">
        <v>13247</v>
      </c>
      <c r="F2205" s="291">
        <v>4168</v>
      </c>
      <c r="G2205" s="291">
        <v>1035</v>
      </c>
      <c r="H2205" s="287">
        <v>0.31463727636445998</v>
      </c>
      <c r="I2205" s="211">
        <v>16.826086956521699</v>
      </c>
      <c r="J2205" s="211">
        <v>0.62467922931809605</v>
      </c>
      <c r="K2205" s="288">
        <v>8275.1257507768205</v>
      </c>
    </row>
    <row r="2206" spans="2:11" x14ac:dyDescent="0.2">
      <c r="B2206">
        <v>25</v>
      </c>
      <c r="C2206">
        <v>6645</v>
      </c>
      <c r="D2206" s="308" t="s">
        <v>2778</v>
      </c>
      <c r="E2206" s="291">
        <v>11535</v>
      </c>
      <c r="F2206" s="291">
        <v>2105</v>
      </c>
      <c r="G2206" s="291">
        <v>631</v>
      </c>
      <c r="H2206" s="287">
        <v>0.182488079757261</v>
      </c>
      <c r="I2206" s="211">
        <v>21.616481774960398</v>
      </c>
      <c r="J2206" s="211">
        <v>0.57028860507617796</v>
      </c>
      <c r="K2206" s="288">
        <v>6578.2790595537199</v>
      </c>
    </row>
    <row r="2207" spans="2:11" x14ac:dyDescent="0.2">
      <c r="B2207">
        <v>26</v>
      </c>
      <c r="C2207">
        <v>6702</v>
      </c>
      <c r="D2207" s="308" t="s">
        <v>2779</v>
      </c>
      <c r="E2207" s="291">
        <v>916</v>
      </c>
      <c r="F2207" s="291">
        <v>377</v>
      </c>
      <c r="G2207" s="291">
        <v>1224</v>
      </c>
      <c r="H2207" s="287">
        <v>0.41157205240174699</v>
      </c>
      <c r="I2207" s="211">
        <v>1.0563725490196101</v>
      </c>
      <c r="J2207" s="211">
        <v>-0.30172489395416602</v>
      </c>
      <c r="K2207" s="288">
        <v>-276.380002862016</v>
      </c>
    </row>
    <row r="2208" spans="2:11" x14ac:dyDescent="0.2">
      <c r="B2208">
        <v>26</v>
      </c>
      <c r="C2208">
        <v>6703</v>
      </c>
      <c r="D2208" s="308" t="s">
        <v>2780</v>
      </c>
      <c r="E2208" s="291">
        <v>267</v>
      </c>
      <c r="F2208" s="291">
        <v>93</v>
      </c>
      <c r="G2208" s="291">
        <v>1351</v>
      </c>
      <c r="H2208" s="287">
        <v>0.348314606741573</v>
      </c>
      <c r="I2208" s="211">
        <v>0.26646928201332298</v>
      </c>
      <c r="J2208" s="211">
        <v>-0.433728980663588</v>
      </c>
      <c r="K2208" s="288">
        <v>-115.805637837178</v>
      </c>
    </row>
    <row r="2209" spans="2:11" x14ac:dyDescent="0.2">
      <c r="B2209">
        <v>26</v>
      </c>
      <c r="C2209">
        <v>6704</v>
      </c>
      <c r="D2209" s="308" t="s">
        <v>2781</v>
      </c>
      <c r="E2209" s="291">
        <v>483</v>
      </c>
      <c r="F2209" s="291">
        <v>61</v>
      </c>
      <c r="G2209" s="291">
        <v>524</v>
      </c>
      <c r="H2209" s="287">
        <v>0.126293995859213</v>
      </c>
      <c r="I2209" s="211">
        <v>1.0381679389313001</v>
      </c>
      <c r="J2209" s="211">
        <v>-0.67244013333118302</v>
      </c>
      <c r="K2209" s="288">
        <v>-324.78858439896101</v>
      </c>
    </row>
    <row r="2210" spans="2:11" x14ac:dyDescent="0.2">
      <c r="B2210">
        <v>26</v>
      </c>
      <c r="C2210">
        <v>6705</v>
      </c>
      <c r="D2210" s="308" t="s">
        <v>2782</v>
      </c>
      <c r="E2210" s="291">
        <v>465</v>
      </c>
      <c r="F2210" s="291">
        <v>75</v>
      </c>
      <c r="G2210" s="291">
        <v>785</v>
      </c>
      <c r="H2210" s="287">
        <v>0.16129032258064499</v>
      </c>
      <c r="I2210" s="211">
        <v>0.68789808917197404</v>
      </c>
      <c r="J2210" s="211">
        <v>-0.64254137744003403</v>
      </c>
      <c r="K2210" s="288">
        <v>-298.78174050961599</v>
      </c>
    </row>
    <row r="2211" spans="2:11" x14ac:dyDescent="0.2">
      <c r="B2211">
        <v>26</v>
      </c>
      <c r="C2211">
        <v>6706</v>
      </c>
      <c r="D2211" s="308" t="s">
        <v>2783</v>
      </c>
      <c r="E2211" s="291">
        <v>444</v>
      </c>
      <c r="F2211" s="291">
        <v>150</v>
      </c>
      <c r="G2211" s="291">
        <v>639</v>
      </c>
      <c r="H2211" s="287">
        <v>0.337837837837838</v>
      </c>
      <c r="I2211" s="211">
        <v>0.92957746478873204</v>
      </c>
      <c r="J2211" s="211">
        <v>-0.41575470337054599</v>
      </c>
      <c r="K2211" s="288">
        <v>-184.59508829652199</v>
      </c>
    </row>
    <row r="2212" spans="2:11" x14ac:dyDescent="0.2">
      <c r="B2212">
        <v>26</v>
      </c>
      <c r="C2212">
        <v>6708</v>
      </c>
      <c r="D2212" s="308" t="s">
        <v>2784</v>
      </c>
      <c r="E2212" s="291">
        <v>2882</v>
      </c>
      <c r="F2212" s="291">
        <v>693</v>
      </c>
      <c r="G2212" s="291">
        <v>1086</v>
      </c>
      <c r="H2212" s="287">
        <v>0.240458015267176</v>
      </c>
      <c r="I2212" s="211">
        <v>3.29189686924494</v>
      </c>
      <c r="J2212" s="211">
        <v>-0.35707989526900802</v>
      </c>
      <c r="K2212" s="288">
        <v>-1029.10425816528</v>
      </c>
    </row>
    <row r="2213" spans="2:11" x14ac:dyDescent="0.2">
      <c r="B2213">
        <v>26</v>
      </c>
      <c r="C2213">
        <v>6709</v>
      </c>
      <c r="D2213" s="308" t="s">
        <v>2785</v>
      </c>
      <c r="E2213" s="291">
        <v>3256</v>
      </c>
      <c r="F2213" s="291">
        <v>861</v>
      </c>
      <c r="G2213" s="291">
        <v>1960</v>
      </c>
      <c r="H2213" s="287">
        <v>0.26443488943488902</v>
      </c>
      <c r="I2213" s="211">
        <v>2.1005102040816301</v>
      </c>
      <c r="J2213" s="211">
        <v>-0.35654625684732</v>
      </c>
      <c r="K2213" s="288">
        <v>-1160.91461229488</v>
      </c>
    </row>
    <row r="2214" spans="2:11" x14ac:dyDescent="0.2">
      <c r="B2214">
        <v>26</v>
      </c>
      <c r="C2214">
        <v>6710</v>
      </c>
      <c r="D2214" s="308" t="s">
        <v>2786</v>
      </c>
      <c r="E2214" s="291">
        <v>2547</v>
      </c>
      <c r="F2214" s="291">
        <v>884</v>
      </c>
      <c r="G2214" s="291">
        <v>1351</v>
      </c>
      <c r="H2214" s="287">
        <v>0.34707499018453097</v>
      </c>
      <c r="I2214" s="211">
        <v>2.5396002960769799</v>
      </c>
      <c r="J2214" s="211">
        <v>-0.26521182883128303</v>
      </c>
      <c r="K2214" s="288">
        <v>-675.49452803327904</v>
      </c>
    </row>
    <row r="2215" spans="2:11" x14ac:dyDescent="0.2">
      <c r="B2215">
        <v>26</v>
      </c>
      <c r="C2215">
        <v>6711</v>
      </c>
      <c r="D2215" s="308" t="s">
        <v>2787</v>
      </c>
      <c r="E2215" s="291">
        <v>12562</v>
      </c>
      <c r="F2215" s="291">
        <v>12713</v>
      </c>
      <c r="G2215" s="291">
        <v>2183</v>
      </c>
      <c r="H2215" s="287">
        <v>1.01202037892055</v>
      </c>
      <c r="I2215" s="211">
        <v>11.578103527256101</v>
      </c>
      <c r="J2215" s="211">
        <v>1.2712041331991499</v>
      </c>
      <c r="K2215" s="288">
        <v>15968.8663212477</v>
      </c>
    </row>
    <row r="2216" spans="2:11" x14ac:dyDescent="0.2">
      <c r="B2216">
        <v>26</v>
      </c>
      <c r="C2216">
        <v>6712</v>
      </c>
      <c r="D2216" s="308" t="s">
        <v>2788</v>
      </c>
      <c r="E2216" s="291">
        <v>1408</v>
      </c>
      <c r="F2216" s="291">
        <v>550</v>
      </c>
      <c r="G2216" s="291">
        <v>1238</v>
      </c>
      <c r="H2216" s="287">
        <v>0.390625</v>
      </c>
      <c r="I2216" s="211">
        <v>1.5815831987075899</v>
      </c>
      <c r="J2216" s="211">
        <v>-0.28972025339532298</v>
      </c>
      <c r="K2216" s="288">
        <v>-407.92611678061502</v>
      </c>
    </row>
    <row r="2217" spans="2:11" x14ac:dyDescent="0.2">
      <c r="B2217">
        <v>26</v>
      </c>
      <c r="C2217">
        <v>6713</v>
      </c>
      <c r="D2217" s="308" t="s">
        <v>2789</v>
      </c>
      <c r="E2217" s="291">
        <v>112</v>
      </c>
      <c r="F2217" s="291">
        <v>39</v>
      </c>
      <c r="G2217" s="291">
        <v>334</v>
      </c>
      <c r="H2217" s="287">
        <v>0.34821428571428598</v>
      </c>
      <c r="I2217" s="211">
        <v>0.45209580838323399</v>
      </c>
      <c r="J2217" s="211">
        <v>-0.43300314089258801</v>
      </c>
      <c r="K2217" s="288">
        <v>-48.4963517799698</v>
      </c>
    </row>
    <row r="2218" spans="2:11" x14ac:dyDescent="0.2">
      <c r="B2218">
        <v>26</v>
      </c>
      <c r="C2218">
        <v>6715</v>
      </c>
      <c r="D2218" s="308" t="s">
        <v>2790</v>
      </c>
      <c r="E2218" s="291">
        <v>490</v>
      </c>
      <c r="F2218" s="291">
        <v>76</v>
      </c>
      <c r="G2218" s="291">
        <v>972</v>
      </c>
      <c r="H2218" s="287">
        <v>0.155102040816327</v>
      </c>
      <c r="I2218" s="211">
        <v>0.58230452674897104</v>
      </c>
      <c r="J2218" s="211">
        <v>-0.653107040321252</v>
      </c>
      <c r="K2218" s="288">
        <v>-320.02244975741399</v>
      </c>
    </row>
    <row r="2219" spans="2:11" x14ac:dyDescent="0.2">
      <c r="B2219">
        <v>26</v>
      </c>
      <c r="C2219">
        <v>6716</v>
      </c>
      <c r="D2219" s="308" t="s">
        <v>2791</v>
      </c>
      <c r="E2219" s="291">
        <v>112</v>
      </c>
      <c r="F2219" s="291">
        <v>18</v>
      </c>
      <c r="G2219" s="291">
        <v>236</v>
      </c>
      <c r="H2219" s="287">
        <v>0.160714285714286</v>
      </c>
      <c r="I2219" s="211">
        <v>0.55084745762711895</v>
      </c>
      <c r="J2219" s="211">
        <v>-0.66174344471763302</v>
      </c>
      <c r="K2219" s="288">
        <v>-74.115265808374801</v>
      </c>
    </row>
    <row r="2220" spans="2:11" x14ac:dyDescent="0.2">
      <c r="B2220">
        <v>26</v>
      </c>
      <c r="C2220">
        <v>6718</v>
      </c>
      <c r="D2220" s="308" t="s">
        <v>2792</v>
      </c>
      <c r="E2220" s="291">
        <v>391</v>
      </c>
      <c r="F2220" s="291">
        <v>73</v>
      </c>
      <c r="G2220" s="291">
        <v>806</v>
      </c>
      <c r="H2220" s="287">
        <v>0.18670076726342699</v>
      </c>
      <c r="I2220" s="211">
        <v>0.57568238213399503</v>
      </c>
      <c r="J2220" s="211">
        <v>-0.61797537913481304</v>
      </c>
      <c r="K2220" s="288">
        <v>-241.62837324171201</v>
      </c>
    </row>
    <row r="2221" spans="2:11" x14ac:dyDescent="0.2">
      <c r="B2221">
        <v>26</v>
      </c>
      <c r="C2221">
        <v>6719</v>
      </c>
      <c r="D2221" s="308" t="s">
        <v>2793</v>
      </c>
      <c r="E2221" s="291">
        <v>344</v>
      </c>
      <c r="F2221" s="291">
        <v>87</v>
      </c>
      <c r="G2221" s="291">
        <v>1772</v>
      </c>
      <c r="H2221" s="287">
        <v>0.252906976744186</v>
      </c>
      <c r="I2221" s="211">
        <v>0.24322799097065501</v>
      </c>
      <c r="J2221" s="211">
        <v>-0.54986052940044905</v>
      </c>
      <c r="K2221" s="288">
        <v>-189.15202211375399</v>
      </c>
    </row>
    <row r="2222" spans="2:11" x14ac:dyDescent="0.2">
      <c r="B2222">
        <v>26</v>
      </c>
      <c r="C2222">
        <v>6720</v>
      </c>
      <c r="D2222" s="308" t="s">
        <v>2794</v>
      </c>
      <c r="E2222" s="291">
        <v>379</v>
      </c>
      <c r="F2222" s="291">
        <v>140</v>
      </c>
      <c r="G2222" s="291">
        <v>842</v>
      </c>
      <c r="H2222" s="287">
        <v>0.36939313984168898</v>
      </c>
      <c r="I2222" s="211">
        <v>0.61638954869358697</v>
      </c>
      <c r="J2222" s="211">
        <v>-0.39056284508101102</v>
      </c>
      <c r="K2222" s="288">
        <v>-148.023318285703</v>
      </c>
    </row>
    <row r="2223" spans="2:11" x14ac:dyDescent="0.2">
      <c r="B2223">
        <v>26</v>
      </c>
      <c r="C2223">
        <v>6721</v>
      </c>
      <c r="D2223" s="308" t="s">
        <v>2795</v>
      </c>
      <c r="E2223" s="291">
        <v>653</v>
      </c>
      <c r="F2223" s="291">
        <v>175</v>
      </c>
      <c r="G2223" s="291">
        <v>193</v>
      </c>
      <c r="H2223" s="287">
        <v>0.26799387442572697</v>
      </c>
      <c r="I2223" s="211">
        <v>4.2901554404145097</v>
      </c>
      <c r="J2223" s="211">
        <v>-0.37170568525257502</v>
      </c>
      <c r="K2223" s="288">
        <v>-242.723812469932</v>
      </c>
    </row>
    <row r="2224" spans="2:11" x14ac:dyDescent="0.2">
      <c r="B2224">
        <v>26</v>
      </c>
      <c r="C2224">
        <v>6722</v>
      </c>
      <c r="D2224" s="308" t="s">
        <v>2796</v>
      </c>
      <c r="E2224" s="291">
        <v>249</v>
      </c>
      <c r="F2224" s="291">
        <v>82</v>
      </c>
      <c r="G2224" s="291">
        <v>792</v>
      </c>
      <c r="H2224" s="287">
        <v>0.32931726907630499</v>
      </c>
      <c r="I2224" s="211">
        <v>0.41792929292929298</v>
      </c>
      <c r="J2224" s="211">
        <v>-0.452431521413037</v>
      </c>
      <c r="K2224" s="288">
        <v>-112.655448831846</v>
      </c>
    </row>
    <row r="2225" spans="2:11" x14ac:dyDescent="0.2">
      <c r="B2225">
        <v>26</v>
      </c>
      <c r="C2225">
        <v>6724</v>
      </c>
      <c r="D2225" s="308" t="s">
        <v>2797</v>
      </c>
      <c r="E2225" s="291">
        <v>462</v>
      </c>
      <c r="F2225" s="291">
        <v>125</v>
      </c>
      <c r="G2225" s="291">
        <v>743</v>
      </c>
      <c r="H2225" s="287">
        <v>0.270562770562771</v>
      </c>
      <c r="I2225" s="211">
        <v>0.79004037685060602</v>
      </c>
      <c r="J2225" s="211">
        <v>-0.503522823588329</v>
      </c>
      <c r="K2225" s="288">
        <v>-232.627544497808</v>
      </c>
    </row>
    <row r="2226" spans="2:11" x14ac:dyDescent="0.2">
      <c r="B2226">
        <v>26</v>
      </c>
      <c r="C2226">
        <v>6728</v>
      </c>
      <c r="D2226" s="308" t="s">
        <v>2798</v>
      </c>
      <c r="E2226" s="291">
        <v>71</v>
      </c>
      <c r="F2226" s="291">
        <v>12</v>
      </c>
      <c r="G2226" s="291">
        <v>203</v>
      </c>
      <c r="H2226" s="287">
        <v>0.169014084507042</v>
      </c>
      <c r="I2226" s="211">
        <v>0.40886699507389201</v>
      </c>
      <c r="J2226" s="211">
        <v>-0.65820540606201405</v>
      </c>
      <c r="K2226" s="288">
        <v>-46.732583830403001</v>
      </c>
    </row>
    <row r="2227" spans="2:11" x14ac:dyDescent="0.2">
      <c r="B2227">
        <v>26</v>
      </c>
      <c r="C2227">
        <v>6729</v>
      </c>
      <c r="D2227" s="308" t="s">
        <v>2799</v>
      </c>
      <c r="E2227" s="291">
        <v>6908</v>
      </c>
      <c r="F2227" s="291">
        <v>2999</v>
      </c>
      <c r="G2227" s="291">
        <v>7073</v>
      </c>
      <c r="H2227" s="287">
        <v>0.43413433700057902</v>
      </c>
      <c r="I2227" s="211">
        <v>1.40067863707055</v>
      </c>
      <c r="J2227" s="211">
        <v>-3.2253300498372502E-2</v>
      </c>
      <c r="K2227" s="288">
        <v>-222.80579984275701</v>
      </c>
    </row>
    <row r="2228" spans="2:11" x14ac:dyDescent="0.2">
      <c r="B2228">
        <v>26</v>
      </c>
      <c r="C2228">
        <v>6730</v>
      </c>
      <c r="D2228" s="308" t="s">
        <v>2800</v>
      </c>
      <c r="E2228" s="291">
        <v>2641</v>
      </c>
      <c r="F2228" s="291">
        <v>865</v>
      </c>
      <c r="G2228" s="291">
        <v>3863</v>
      </c>
      <c r="H2228" s="287">
        <v>0.32752745172283199</v>
      </c>
      <c r="I2228" s="211">
        <v>0.90758477866942799</v>
      </c>
      <c r="J2228" s="211">
        <v>-0.34538716736240799</v>
      </c>
      <c r="K2228" s="288">
        <v>-912.16750900412103</v>
      </c>
    </row>
    <row r="2229" spans="2:11" x14ac:dyDescent="0.2">
      <c r="B2229">
        <v>26</v>
      </c>
      <c r="C2229">
        <v>6741</v>
      </c>
      <c r="D2229" s="308" t="s">
        <v>2801</v>
      </c>
      <c r="E2229" s="291">
        <v>314</v>
      </c>
      <c r="F2229" s="291">
        <v>96</v>
      </c>
      <c r="G2229" s="291">
        <v>1157</v>
      </c>
      <c r="H2229" s="287">
        <v>0.305732484076433</v>
      </c>
      <c r="I2229" s="211">
        <v>0.354364736387208</v>
      </c>
      <c r="J2229" s="211">
        <v>-0.481492491769623</v>
      </c>
      <c r="K2229" s="288">
        <v>-151.18864241566101</v>
      </c>
    </row>
    <row r="2230" spans="2:11" x14ac:dyDescent="0.2">
      <c r="B2230">
        <v>26</v>
      </c>
      <c r="C2230">
        <v>6742</v>
      </c>
      <c r="D2230" s="308" t="s">
        <v>2802</v>
      </c>
      <c r="E2230" s="291">
        <v>1219</v>
      </c>
      <c r="F2230" s="291">
        <v>485</v>
      </c>
      <c r="G2230" s="291">
        <v>2456</v>
      </c>
      <c r="H2230" s="287">
        <v>0.39786710418375698</v>
      </c>
      <c r="I2230" s="211">
        <v>0.69381107491856697</v>
      </c>
      <c r="J2230" s="211">
        <v>-0.32035823469550001</v>
      </c>
      <c r="K2230" s="288">
        <v>-390.51668809381499</v>
      </c>
    </row>
    <row r="2231" spans="2:11" x14ac:dyDescent="0.2">
      <c r="B2231">
        <v>26</v>
      </c>
      <c r="C2231">
        <v>6743</v>
      </c>
      <c r="D2231" s="308" t="s">
        <v>2803</v>
      </c>
      <c r="E2231" s="291">
        <v>1511</v>
      </c>
      <c r="F2231" s="291">
        <v>1028</v>
      </c>
      <c r="G2231" s="291">
        <v>1081</v>
      </c>
      <c r="H2231" s="287">
        <v>0.68034414295168799</v>
      </c>
      <c r="I2231" s="211">
        <v>2.3487511563367298</v>
      </c>
      <c r="J2231" s="211">
        <v>0.10121517696009</v>
      </c>
      <c r="K2231" s="288">
        <v>152.93613238669701</v>
      </c>
    </row>
    <row r="2232" spans="2:11" x14ac:dyDescent="0.2">
      <c r="B2232">
        <v>26</v>
      </c>
      <c r="C2232">
        <v>6744</v>
      </c>
      <c r="D2232" s="308" t="s">
        <v>2804</v>
      </c>
      <c r="E2232" s="291">
        <v>100</v>
      </c>
      <c r="F2232" s="291">
        <v>25</v>
      </c>
      <c r="G2232" s="291">
        <v>392</v>
      </c>
      <c r="H2232" s="287">
        <v>0.25</v>
      </c>
      <c r="I2232" s="211">
        <v>0.31887755102040799</v>
      </c>
      <c r="J2232" s="211">
        <v>-0.56002577165782497</v>
      </c>
      <c r="K2232" s="288">
        <v>-56.002577165782498</v>
      </c>
    </row>
    <row r="2233" spans="2:11" x14ac:dyDescent="0.2">
      <c r="B2233">
        <v>26</v>
      </c>
      <c r="C2233">
        <v>6745</v>
      </c>
      <c r="D2233" s="308" t="s">
        <v>2805</v>
      </c>
      <c r="E2233" s="291">
        <v>142</v>
      </c>
      <c r="F2233" s="291">
        <v>44</v>
      </c>
      <c r="G2233" s="291">
        <v>705</v>
      </c>
      <c r="H2233" s="287">
        <v>0.309859154929577</v>
      </c>
      <c r="I2233" s="211">
        <v>0.26382978723404299</v>
      </c>
      <c r="J2233" s="211">
        <v>-0.486254084076644</v>
      </c>
      <c r="K2233" s="288">
        <v>-69.048079938883504</v>
      </c>
    </row>
    <row r="2234" spans="2:11" x14ac:dyDescent="0.2">
      <c r="B2234">
        <v>26</v>
      </c>
      <c r="C2234">
        <v>6748</v>
      </c>
      <c r="D2234" s="308" t="s">
        <v>2806</v>
      </c>
      <c r="E2234" s="291">
        <v>502</v>
      </c>
      <c r="F2234" s="291">
        <v>397</v>
      </c>
      <c r="G2234" s="291">
        <v>1353</v>
      </c>
      <c r="H2234" s="287">
        <v>0.79083665338645404</v>
      </c>
      <c r="I2234" s="211">
        <v>0.66444937176644503</v>
      </c>
      <c r="J2234" s="211">
        <v>0.138128084948688</v>
      </c>
      <c r="K2234" s="288">
        <v>69.340298644241301</v>
      </c>
    </row>
    <row r="2235" spans="2:11" x14ac:dyDescent="0.2">
      <c r="B2235">
        <v>26</v>
      </c>
      <c r="C2235">
        <v>6750</v>
      </c>
      <c r="D2235" s="308" t="s">
        <v>2807</v>
      </c>
      <c r="E2235" s="291">
        <v>669</v>
      </c>
      <c r="F2235" s="291">
        <v>197</v>
      </c>
      <c r="G2235" s="291">
        <v>1236</v>
      </c>
      <c r="H2235" s="287">
        <v>0.29446935724962597</v>
      </c>
      <c r="I2235" s="211">
        <v>0.70064724919093802</v>
      </c>
      <c r="J2235" s="211">
        <v>-0.46925080479263798</v>
      </c>
      <c r="K2235" s="288">
        <v>-313.92878840627498</v>
      </c>
    </row>
    <row r="2236" spans="2:11" x14ac:dyDescent="0.2">
      <c r="B2236">
        <v>26</v>
      </c>
      <c r="C2236">
        <v>6751</v>
      </c>
      <c r="D2236" s="308" t="s">
        <v>2808</v>
      </c>
      <c r="E2236" s="291">
        <v>629</v>
      </c>
      <c r="F2236" s="291">
        <v>213</v>
      </c>
      <c r="G2236" s="291">
        <v>1817</v>
      </c>
      <c r="H2236" s="287">
        <v>0.33863275039745599</v>
      </c>
      <c r="I2236" s="211">
        <v>0.46340121078701202</v>
      </c>
      <c r="J2236" s="211">
        <v>-0.42470946029960899</v>
      </c>
      <c r="K2236" s="288">
        <v>-267.14225052845399</v>
      </c>
    </row>
    <row r="2237" spans="2:11" x14ac:dyDescent="0.2">
      <c r="B2237">
        <v>26</v>
      </c>
      <c r="C2237">
        <v>6753</v>
      </c>
      <c r="D2237" s="308" t="s">
        <v>2809</v>
      </c>
      <c r="E2237" s="291">
        <v>504</v>
      </c>
      <c r="F2237" s="291">
        <v>192</v>
      </c>
      <c r="G2237" s="291">
        <v>1685</v>
      </c>
      <c r="H2237" s="287">
        <v>0.38095238095238099</v>
      </c>
      <c r="I2237" s="211">
        <v>0.41305637982195798</v>
      </c>
      <c r="J2237" s="211">
        <v>-0.37888151645510398</v>
      </c>
      <c r="K2237" s="288">
        <v>-190.95628429337299</v>
      </c>
    </row>
    <row r="2238" spans="2:11" x14ac:dyDescent="0.2">
      <c r="B2238">
        <v>26</v>
      </c>
      <c r="C2238">
        <v>6754</v>
      </c>
      <c r="D2238" s="308" t="s">
        <v>2810</v>
      </c>
      <c r="E2238" s="291">
        <v>1845</v>
      </c>
      <c r="F2238" s="291">
        <v>1687</v>
      </c>
      <c r="G2238" s="291">
        <v>2028</v>
      </c>
      <c r="H2238" s="287">
        <v>0.914363143631436</v>
      </c>
      <c r="I2238" s="211">
        <v>1.74161735700197</v>
      </c>
      <c r="J2238" s="211">
        <v>0.381813694808256</v>
      </c>
      <c r="K2238" s="288">
        <v>704.44626692123302</v>
      </c>
    </row>
    <row r="2239" spans="2:11" x14ac:dyDescent="0.2">
      <c r="B2239">
        <v>26</v>
      </c>
      <c r="C2239">
        <v>6757</v>
      </c>
      <c r="D2239" s="308" t="s">
        <v>2811</v>
      </c>
      <c r="E2239" s="291">
        <v>2556</v>
      </c>
      <c r="F2239" s="291">
        <v>1691</v>
      </c>
      <c r="G2239" s="291">
        <v>3133</v>
      </c>
      <c r="H2239" s="287">
        <v>0.66158059467918595</v>
      </c>
      <c r="I2239" s="211">
        <v>1.3555697414618599</v>
      </c>
      <c r="J2239" s="211">
        <v>8.1656529293854793E-2</v>
      </c>
      <c r="K2239" s="288">
        <v>208.71408887509301</v>
      </c>
    </row>
    <row r="2240" spans="2:11" x14ac:dyDescent="0.2">
      <c r="B2240">
        <v>26</v>
      </c>
      <c r="C2240">
        <v>6758</v>
      </c>
      <c r="D2240" s="308" t="s">
        <v>2812</v>
      </c>
      <c r="E2240" s="291">
        <v>228</v>
      </c>
      <c r="F2240" s="291">
        <v>83</v>
      </c>
      <c r="G2240" s="291">
        <v>1493</v>
      </c>
      <c r="H2240" s="287">
        <v>0.36403508771929799</v>
      </c>
      <c r="I2240" s="211">
        <v>0.20830542531815099</v>
      </c>
      <c r="J2240" s="211">
        <v>-0.41786101374409901</v>
      </c>
      <c r="K2240" s="288">
        <v>-95.272311133654597</v>
      </c>
    </row>
    <row r="2241" spans="2:11" x14ac:dyDescent="0.2">
      <c r="B2241">
        <v>26</v>
      </c>
      <c r="C2241">
        <v>6759</v>
      </c>
      <c r="D2241" s="308" t="s">
        <v>2813</v>
      </c>
      <c r="E2241" s="291">
        <v>134</v>
      </c>
      <c r="F2241" s="291">
        <v>52</v>
      </c>
      <c r="G2241" s="291">
        <v>1318</v>
      </c>
      <c r="H2241" s="287">
        <v>0.38805970149253699</v>
      </c>
      <c r="I2241" s="211">
        <v>0.141122913505311</v>
      </c>
      <c r="J2241" s="211">
        <v>-0.39413343147420699</v>
      </c>
      <c r="K2241" s="288">
        <v>-52.8138798175437</v>
      </c>
    </row>
    <row r="2242" spans="2:11" x14ac:dyDescent="0.2">
      <c r="B2242">
        <v>26</v>
      </c>
      <c r="C2242">
        <v>6771</v>
      </c>
      <c r="D2242" s="308" t="s">
        <v>2814</v>
      </c>
      <c r="E2242" s="291">
        <v>1817</v>
      </c>
      <c r="F2242" s="291">
        <v>1205</v>
      </c>
      <c r="G2242" s="291">
        <v>1062</v>
      </c>
      <c r="H2242" s="287">
        <v>0.66318106769400098</v>
      </c>
      <c r="I2242" s="211">
        <v>2.8455743879472699</v>
      </c>
      <c r="J2242" s="211">
        <v>0.109766104257237</v>
      </c>
      <c r="K2242" s="288">
        <v>199.44501143539901</v>
      </c>
    </row>
    <row r="2243" spans="2:11" x14ac:dyDescent="0.2">
      <c r="B2243">
        <v>26</v>
      </c>
      <c r="C2243">
        <v>6773</v>
      </c>
      <c r="D2243" s="308" t="s">
        <v>2815</v>
      </c>
      <c r="E2243" s="291">
        <v>127</v>
      </c>
      <c r="F2243" s="291">
        <v>40</v>
      </c>
      <c r="G2243" s="291">
        <v>506</v>
      </c>
      <c r="H2243" s="287">
        <v>0.31496062992126</v>
      </c>
      <c r="I2243" s="211">
        <v>0.33003952569169998</v>
      </c>
      <c r="J2243" s="211">
        <v>-0.47808998535894598</v>
      </c>
      <c r="K2243" s="288">
        <v>-60.717428140586101</v>
      </c>
    </row>
    <row r="2244" spans="2:11" x14ac:dyDescent="0.2">
      <c r="B2244">
        <v>26</v>
      </c>
      <c r="C2244">
        <v>6774</v>
      </c>
      <c r="D2244" s="308" t="s">
        <v>2816</v>
      </c>
      <c r="E2244" s="291">
        <v>1205</v>
      </c>
      <c r="F2244" s="291">
        <v>1568</v>
      </c>
      <c r="G2244" s="291">
        <v>895</v>
      </c>
      <c r="H2244" s="287">
        <v>1.3012448132780099</v>
      </c>
      <c r="I2244" s="211">
        <v>3.0983240223463699</v>
      </c>
      <c r="J2244" s="211">
        <v>0.88626924930666096</v>
      </c>
      <c r="K2244" s="288">
        <v>1067.95444541453</v>
      </c>
    </row>
    <row r="2245" spans="2:11" x14ac:dyDescent="0.2">
      <c r="B2245">
        <v>26</v>
      </c>
      <c r="C2245">
        <v>6775</v>
      </c>
      <c r="D2245" s="308" t="s">
        <v>2817</v>
      </c>
      <c r="E2245" s="291">
        <v>665</v>
      </c>
      <c r="F2245" s="291">
        <v>349</v>
      </c>
      <c r="G2245" s="291">
        <v>1333</v>
      </c>
      <c r="H2245" s="287">
        <v>0.52481203007518795</v>
      </c>
      <c r="I2245" s="211">
        <v>0.76069017254313598</v>
      </c>
      <c r="J2245" s="211">
        <v>-0.18178058218797699</v>
      </c>
      <c r="K2245" s="288">
        <v>-120.88408715500501</v>
      </c>
    </row>
    <row r="2246" spans="2:11" x14ac:dyDescent="0.2">
      <c r="B2246">
        <v>26</v>
      </c>
      <c r="C2246">
        <v>6778</v>
      </c>
      <c r="D2246" s="308" t="s">
        <v>2818</v>
      </c>
      <c r="E2246" s="291">
        <v>685</v>
      </c>
      <c r="F2246" s="291">
        <v>279</v>
      </c>
      <c r="G2246" s="291">
        <v>1296</v>
      </c>
      <c r="H2246" s="287">
        <v>0.40729927007299299</v>
      </c>
      <c r="I2246" s="211">
        <v>0.74382716049382702</v>
      </c>
      <c r="J2246" s="211">
        <v>-0.32724924248416198</v>
      </c>
      <c r="K2246" s="288">
        <v>-224.16573110165101</v>
      </c>
    </row>
    <row r="2247" spans="2:11" x14ac:dyDescent="0.2">
      <c r="B2247">
        <v>26</v>
      </c>
      <c r="C2247">
        <v>6781</v>
      </c>
      <c r="D2247" s="308" t="s">
        <v>2819</v>
      </c>
      <c r="E2247" s="291">
        <v>732</v>
      </c>
      <c r="F2247" s="291">
        <v>153</v>
      </c>
      <c r="G2247" s="291">
        <v>1156</v>
      </c>
      <c r="H2247" s="287">
        <v>0.20901639344262299</v>
      </c>
      <c r="I2247" s="211">
        <v>0.76557093425605505</v>
      </c>
      <c r="J2247" s="211">
        <v>-0.57036510346646596</v>
      </c>
      <c r="K2247" s="288">
        <v>-417.50725573745302</v>
      </c>
    </row>
    <row r="2248" spans="2:11" x14ac:dyDescent="0.2">
      <c r="B2248">
        <v>26</v>
      </c>
      <c r="C2248">
        <v>6782</v>
      </c>
      <c r="D2248" s="308" t="s">
        <v>2820</v>
      </c>
      <c r="E2248" s="291">
        <v>1050</v>
      </c>
      <c r="F2248" s="291">
        <v>402</v>
      </c>
      <c r="G2248" s="291">
        <v>1038</v>
      </c>
      <c r="H2248" s="287">
        <v>0.38285714285714301</v>
      </c>
      <c r="I2248" s="211">
        <v>1.39884393063584</v>
      </c>
      <c r="J2248" s="211">
        <v>-0.319692173117329</v>
      </c>
      <c r="K2248" s="288">
        <v>-335.67678177319499</v>
      </c>
    </row>
    <row r="2249" spans="2:11" x14ac:dyDescent="0.2">
      <c r="B2249">
        <v>26</v>
      </c>
      <c r="C2249">
        <v>6783</v>
      </c>
      <c r="D2249" s="308" t="s">
        <v>2821</v>
      </c>
      <c r="E2249" s="291">
        <v>293</v>
      </c>
      <c r="F2249" s="291">
        <v>161</v>
      </c>
      <c r="G2249" s="291">
        <v>613</v>
      </c>
      <c r="H2249" s="287">
        <v>0.54948805460750805</v>
      </c>
      <c r="I2249" s="211">
        <v>0.74061990212071804</v>
      </c>
      <c r="J2249" s="211">
        <v>-0.166149127821658</v>
      </c>
      <c r="K2249" s="288">
        <v>-48.681694451745898</v>
      </c>
    </row>
    <row r="2250" spans="2:11" x14ac:dyDescent="0.2">
      <c r="B2250">
        <v>26</v>
      </c>
      <c r="C2250">
        <v>6784</v>
      </c>
      <c r="D2250" s="308" t="s">
        <v>2822</v>
      </c>
      <c r="E2250" s="291">
        <v>2295</v>
      </c>
      <c r="F2250" s="291">
        <v>954</v>
      </c>
      <c r="G2250" s="291">
        <v>1841</v>
      </c>
      <c r="H2250" s="287">
        <v>0.415686274509804</v>
      </c>
      <c r="I2250" s="211">
        <v>1.7648017381857699</v>
      </c>
      <c r="J2250" s="211">
        <v>-0.2180886551774</v>
      </c>
      <c r="K2250" s="288">
        <v>-500.51346363213298</v>
      </c>
    </row>
    <row r="2251" spans="2:11" x14ac:dyDescent="0.2">
      <c r="B2251">
        <v>26</v>
      </c>
      <c r="C2251">
        <v>6785</v>
      </c>
      <c r="D2251" s="308" t="s">
        <v>2823</v>
      </c>
      <c r="E2251" s="291">
        <v>761</v>
      </c>
      <c r="F2251" s="291">
        <v>246</v>
      </c>
      <c r="G2251" s="291">
        <v>813</v>
      </c>
      <c r="H2251" s="287">
        <v>0.323258869908016</v>
      </c>
      <c r="I2251" s="211">
        <v>1.2386223862238599</v>
      </c>
      <c r="J2251" s="211">
        <v>-0.41043246878713802</v>
      </c>
      <c r="K2251" s="288">
        <v>-312.33910874701201</v>
      </c>
    </row>
    <row r="2252" spans="2:11" x14ac:dyDescent="0.2">
      <c r="B2252">
        <v>26</v>
      </c>
      <c r="C2252">
        <v>6787</v>
      </c>
      <c r="D2252" s="308" t="s">
        <v>2824</v>
      </c>
      <c r="E2252" s="291">
        <v>178</v>
      </c>
      <c r="F2252" s="291">
        <v>56</v>
      </c>
      <c r="G2252" s="291">
        <v>553</v>
      </c>
      <c r="H2252" s="287">
        <v>0.31460674157303398</v>
      </c>
      <c r="I2252" s="211">
        <v>0.42314647377938502</v>
      </c>
      <c r="J2252" s="211">
        <v>-0.473182802132535</v>
      </c>
      <c r="K2252" s="288">
        <v>-84.226538779591195</v>
      </c>
    </row>
    <row r="2253" spans="2:11" x14ac:dyDescent="0.2">
      <c r="B2253">
        <v>26</v>
      </c>
      <c r="C2253">
        <v>6789</v>
      </c>
      <c r="D2253" s="308" t="s">
        <v>2825</v>
      </c>
      <c r="E2253" s="291">
        <v>365</v>
      </c>
      <c r="F2253" s="291">
        <v>144</v>
      </c>
      <c r="G2253" s="291">
        <v>731</v>
      </c>
      <c r="H2253" s="287">
        <v>0.39452054794520502</v>
      </c>
      <c r="I2253" s="211">
        <v>0.69630642954856403</v>
      </c>
      <c r="J2253" s="211">
        <v>-0.357045010638814</v>
      </c>
      <c r="K2253" s="288">
        <v>-130.32142888316699</v>
      </c>
    </row>
    <row r="2254" spans="2:11" x14ac:dyDescent="0.2">
      <c r="B2254">
        <v>26</v>
      </c>
      <c r="C2254">
        <v>6790</v>
      </c>
      <c r="D2254" s="308" t="s">
        <v>2826</v>
      </c>
      <c r="E2254" s="291">
        <v>1686</v>
      </c>
      <c r="F2254" s="291">
        <v>224</v>
      </c>
      <c r="G2254" s="291">
        <v>1995</v>
      </c>
      <c r="H2254" s="287">
        <v>0.13285883748517199</v>
      </c>
      <c r="I2254" s="211">
        <v>0.95739348370927302</v>
      </c>
      <c r="J2254" s="211">
        <v>-0.62128629764721699</v>
      </c>
      <c r="K2254" s="288">
        <v>-1047.4886978332099</v>
      </c>
    </row>
    <row r="2255" spans="2:11" x14ac:dyDescent="0.2">
      <c r="B2255">
        <v>26</v>
      </c>
      <c r="C2255">
        <v>6792</v>
      </c>
      <c r="D2255" s="308" t="s">
        <v>2827</v>
      </c>
      <c r="E2255" s="291">
        <v>397</v>
      </c>
      <c r="F2255" s="291">
        <v>97</v>
      </c>
      <c r="G2255" s="291">
        <v>895</v>
      </c>
      <c r="H2255" s="287">
        <v>0.24433249370277099</v>
      </c>
      <c r="I2255" s="211">
        <v>0.55195530726257003</v>
      </c>
      <c r="J2255" s="211">
        <v>-0.54719664024695602</v>
      </c>
      <c r="K2255" s="288">
        <v>-217.237066178041</v>
      </c>
    </row>
    <row r="2256" spans="2:11" x14ac:dyDescent="0.2">
      <c r="B2256">
        <v>26</v>
      </c>
      <c r="C2256">
        <v>6793</v>
      </c>
      <c r="D2256" s="308" t="s">
        <v>2828</v>
      </c>
      <c r="E2256" s="291">
        <v>182</v>
      </c>
      <c r="F2256" s="291">
        <v>45</v>
      </c>
      <c r="G2256" s="291">
        <v>512</v>
      </c>
      <c r="H2256" s="287">
        <v>0.24725274725274701</v>
      </c>
      <c r="I2256" s="211">
        <v>0.443359375</v>
      </c>
      <c r="J2256" s="211">
        <v>-0.55575514747445498</v>
      </c>
      <c r="K2256" s="288">
        <v>-101.14743684035101</v>
      </c>
    </row>
    <row r="2257" spans="2:11" x14ac:dyDescent="0.2">
      <c r="B2257">
        <v>26</v>
      </c>
      <c r="C2257">
        <v>6800</v>
      </c>
      <c r="D2257" s="308" t="s">
        <v>2829</v>
      </c>
      <c r="E2257" s="291">
        <v>6876</v>
      </c>
      <c r="F2257" s="291">
        <v>6367</v>
      </c>
      <c r="G2257" s="291">
        <v>1463</v>
      </c>
      <c r="H2257" s="287">
        <v>0.92597440372309503</v>
      </c>
      <c r="I2257" s="211">
        <v>9.0519480519480506</v>
      </c>
      <c r="J2257" s="211">
        <v>0.85515270302422897</v>
      </c>
      <c r="K2257" s="288">
        <v>5880.0299859945999</v>
      </c>
    </row>
    <row r="2258" spans="2:11" x14ac:dyDescent="0.2">
      <c r="B2258">
        <v>26</v>
      </c>
      <c r="C2258">
        <v>6803</v>
      </c>
      <c r="D2258" s="308" t="s">
        <v>2830</v>
      </c>
      <c r="E2258" s="291">
        <v>157</v>
      </c>
      <c r="F2258" s="291">
        <v>36</v>
      </c>
      <c r="G2258" s="291">
        <v>447</v>
      </c>
      <c r="H2258" s="287">
        <v>0.22929936305732501</v>
      </c>
      <c r="I2258" s="211">
        <v>0.43176733780760601</v>
      </c>
      <c r="J2258" s="211">
        <v>-0.579380512106905</v>
      </c>
      <c r="K2258" s="288">
        <v>-90.962740400784099</v>
      </c>
    </row>
    <row r="2259" spans="2:11" x14ac:dyDescent="0.2">
      <c r="B2259">
        <v>26</v>
      </c>
      <c r="C2259">
        <v>6806</v>
      </c>
      <c r="D2259" s="308" t="s">
        <v>2831</v>
      </c>
      <c r="E2259" s="291">
        <v>557</v>
      </c>
      <c r="F2259" s="291">
        <v>208</v>
      </c>
      <c r="G2259" s="291">
        <v>913</v>
      </c>
      <c r="H2259" s="287">
        <v>0.37342908438061001</v>
      </c>
      <c r="I2259" s="211">
        <v>0.83789704271632004</v>
      </c>
      <c r="J2259" s="211">
        <v>-0.37067861552555098</v>
      </c>
      <c r="K2259" s="288">
        <v>-206.46798884773199</v>
      </c>
    </row>
    <row r="2260" spans="2:11" x14ac:dyDescent="0.2">
      <c r="B2260">
        <v>26</v>
      </c>
      <c r="C2260">
        <v>6807</v>
      </c>
      <c r="D2260" s="308" t="s">
        <v>2832</v>
      </c>
      <c r="E2260" s="291">
        <v>1225</v>
      </c>
      <c r="F2260" s="291">
        <v>501</v>
      </c>
      <c r="G2260" s="291">
        <v>2286</v>
      </c>
      <c r="H2260" s="287">
        <v>0.40897959183673499</v>
      </c>
      <c r="I2260" s="211">
        <v>0.75503062117235298</v>
      </c>
      <c r="J2260" s="211">
        <v>-0.304125173912006</v>
      </c>
      <c r="K2260" s="288">
        <v>-372.553338042208</v>
      </c>
    </row>
    <row r="2261" spans="2:11" x14ac:dyDescent="0.2">
      <c r="B2261">
        <v>26</v>
      </c>
      <c r="C2261">
        <v>6808</v>
      </c>
      <c r="D2261" s="308" t="s">
        <v>2833</v>
      </c>
      <c r="E2261" s="291">
        <v>1321</v>
      </c>
      <c r="F2261" s="291">
        <v>638</v>
      </c>
      <c r="G2261" s="291">
        <v>6098</v>
      </c>
      <c r="H2261" s="287">
        <v>0.482967448902347</v>
      </c>
      <c r="I2261" s="211">
        <v>0.32125286979337497</v>
      </c>
      <c r="J2261" s="211">
        <v>-0.22460043484374501</v>
      </c>
      <c r="K2261" s="288">
        <v>-296.697174428587</v>
      </c>
    </row>
    <row r="2262" spans="2:11" x14ac:dyDescent="0.2">
      <c r="B2262">
        <v>26</v>
      </c>
      <c r="C2262">
        <v>6809</v>
      </c>
      <c r="D2262" s="308" t="s">
        <v>2834</v>
      </c>
      <c r="E2262" s="291">
        <v>941</v>
      </c>
      <c r="F2262" s="291">
        <v>623</v>
      </c>
      <c r="G2262" s="291">
        <v>3645</v>
      </c>
      <c r="H2262" s="287">
        <v>0.66206163655685402</v>
      </c>
      <c r="I2262" s="211">
        <v>0.42908093278463599</v>
      </c>
      <c r="J2262" s="211">
        <v>-1.3258807696741299E-2</v>
      </c>
      <c r="K2262" s="288">
        <v>-12.476538042633599</v>
      </c>
    </row>
    <row r="2263" spans="2:11" x14ac:dyDescent="0.2">
      <c r="B2263">
        <v>26</v>
      </c>
      <c r="C2263">
        <v>6810</v>
      </c>
      <c r="D2263" s="308" t="s">
        <v>2835</v>
      </c>
      <c r="E2263" s="291">
        <v>1212</v>
      </c>
      <c r="F2263" s="291">
        <v>438</v>
      </c>
      <c r="G2263" s="291">
        <v>3102</v>
      </c>
      <c r="H2263" s="287">
        <v>0.36138613861386099</v>
      </c>
      <c r="I2263" s="211">
        <v>0.53191489361702105</v>
      </c>
      <c r="J2263" s="211">
        <v>-0.37173842090971698</v>
      </c>
      <c r="K2263" s="288">
        <v>-450.54696614257699</v>
      </c>
    </row>
    <row r="2264" spans="2:11" x14ac:dyDescent="0.2">
      <c r="D2264" s="308"/>
      <c r="E2264" s="291"/>
      <c r="F2264" s="291"/>
      <c r="G2264" s="291"/>
      <c r="H2264" s="287"/>
      <c r="I2264" s="211"/>
      <c r="J2264" s="211"/>
      <c r="K2264" s="288"/>
    </row>
    <row r="2265" spans="2:11" x14ac:dyDescent="0.2">
      <c r="D2265" s="308"/>
      <c r="E2265" s="291"/>
      <c r="F2265" s="291"/>
      <c r="G2265" s="291"/>
      <c r="H2265" s="287"/>
      <c r="I2265" s="211"/>
      <c r="J2265" s="211"/>
      <c r="K2265" s="288"/>
    </row>
    <row r="2266" spans="2:11" x14ac:dyDescent="0.2">
      <c r="D2266" s="308"/>
      <c r="E2266" s="291"/>
      <c r="F2266" s="291"/>
      <c r="G2266" s="291"/>
      <c r="H2266" s="287"/>
      <c r="I2266" s="211"/>
      <c r="J2266" s="211"/>
      <c r="K2266" s="288"/>
    </row>
    <row r="2267" spans="2:11" x14ac:dyDescent="0.2">
      <c r="D2267" s="308"/>
      <c r="E2267" s="291"/>
      <c r="F2267" s="291"/>
      <c r="G2267" s="291"/>
      <c r="H2267" s="287"/>
      <c r="I2267" s="211"/>
      <c r="J2267" s="211"/>
      <c r="K2267" s="288"/>
    </row>
    <row r="2268" spans="2:11" x14ac:dyDescent="0.2">
      <c r="D2268" s="308"/>
      <c r="E2268" s="291"/>
      <c r="F2268" s="291"/>
      <c r="G2268" s="291"/>
      <c r="H2268" s="287"/>
      <c r="I2268" s="211"/>
      <c r="J2268" s="211"/>
      <c r="K2268" s="288"/>
    </row>
    <row r="2269" spans="2:11" x14ac:dyDescent="0.2">
      <c r="D2269" s="308"/>
      <c r="E2269" s="291"/>
      <c r="F2269" s="291"/>
      <c r="G2269" s="291"/>
      <c r="H2269" s="287"/>
      <c r="I2269" s="211"/>
      <c r="J2269" s="211"/>
      <c r="K2269" s="288"/>
    </row>
    <row r="2270" spans="2:11" x14ac:dyDescent="0.2">
      <c r="D2270" s="308"/>
      <c r="E2270" s="291"/>
      <c r="F2270" s="291"/>
      <c r="G2270" s="291"/>
      <c r="H2270" s="287"/>
      <c r="I2270" s="211"/>
      <c r="J2270" s="211"/>
      <c r="K2270" s="288"/>
    </row>
    <row r="2271" spans="2:11" x14ac:dyDescent="0.2">
      <c r="D2271" s="308"/>
      <c r="E2271" s="291"/>
      <c r="F2271" s="291"/>
      <c r="G2271" s="291"/>
      <c r="H2271" s="287"/>
      <c r="I2271" s="211"/>
      <c r="J2271" s="211"/>
      <c r="K2271" s="288"/>
    </row>
    <row r="2272" spans="2:11" x14ac:dyDescent="0.2">
      <c r="D2272" s="308"/>
      <c r="E2272" s="291"/>
      <c r="F2272" s="291"/>
      <c r="G2272" s="291"/>
      <c r="H2272" s="287"/>
      <c r="I2272" s="211"/>
      <c r="J2272" s="211"/>
      <c r="K2272" s="288"/>
    </row>
    <row r="2273" spans="4:11" x14ac:dyDescent="0.2">
      <c r="D2273" s="308"/>
      <c r="E2273" s="291"/>
      <c r="F2273" s="291"/>
      <c r="G2273" s="291"/>
      <c r="H2273" s="287"/>
      <c r="I2273" s="211"/>
      <c r="J2273" s="211"/>
      <c r="K2273" s="288"/>
    </row>
    <row r="2274" spans="4:11" x14ac:dyDescent="0.2">
      <c r="D2274" s="308"/>
      <c r="E2274" s="291"/>
      <c r="F2274" s="291"/>
      <c r="G2274" s="291"/>
      <c r="H2274" s="287"/>
      <c r="I2274" s="211"/>
      <c r="J2274" s="211"/>
      <c r="K2274" s="288"/>
    </row>
    <row r="2275" spans="4:11" x14ac:dyDescent="0.2">
      <c r="D2275" s="308"/>
      <c r="E2275" s="291"/>
      <c r="F2275" s="291"/>
      <c r="G2275" s="291"/>
      <c r="H2275" s="287"/>
      <c r="I2275" s="211"/>
      <c r="J2275" s="211"/>
      <c r="K2275" s="288"/>
    </row>
    <row r="2276" spans="4:11" x14ac:dyDescent="0.2">
      <c r="D2276" s="308"/>
      <c r="E2276" s="291"/>
      <c r="F2276" s="291"/>
      <c r="G2276" s="291"/>
      <c r="H2276" s="287"/>
      <c r="I2276" s="211"/>
      <c r="J2276" s="211"/>
      <c r="K2276" s="288"/>
    </row>
    <row r="2277" spans="4:11" x14ac:dyDescent="0.2">
      <c r="D2277" s="308"/>
      <c r="E2277" s="291"/>
      <c r="F2277" s="291"/>
      <c r="G2277" s="291"/>
      <c r="H2277" s="287"/>
      <c r="I2277" s="211"/>
      <c r="J2277" s="211"/>
      <c r="K2277" s="288"/>
    </row>
    <row r="2278" spans="4:11" x14ac:dyDescent="0.2">
      <c r="D2278" s="308"/>
      <c r="E2278" s="291"/>
      <c r="F2278" s="291"/>
      <c r="G2278" s="291"/>
      <c r="H2278" s="287"/>
      <c r="I2278" s="211"/>
      <c r="J2278" s="211"/>
      <c r="K2278" s="288"/>
    </row>
    <row r="2279" spans="4:11" x14ac:dyDescent="0.2">
      <c r="D2279" s="308"/>
      <c r="E2279" s="291"/>
      <c r="F2279" s="291"/>
      <c r="G2279" s="291"/>
      <c r="H2279" s="287"/>
      <c r="I2279" s="211"/>
      <c r="J2279" s="211"/>
      <c r="K2279" s="288"/>
    </row>
    <row r="2280" spans="4:11" x14ac:dyDescent="0.2">
      <c r="D2280" s="308"/>
      <c r="E2280" s="291"/>
      <c r="F2280" s="291"/>
      <c r="G2280" s="291"/>
      <c r="H2280" s="287"/>
      <c r="I2280" s="211"/>
      <c r="J2280" s="211"/>
      <c r="K2280" s="288"/>
    </row>
    <row r="2281" spans="4:11" x14ac:dyDescent="0.2">
      <c r="D2281" s="308"/>
      <c r="E2281" s="291"/>
      <c r="F2281" s="291"/>
      <c r="G2281" s="291"/>
      <c r="H2281" s="287"/>
      <c r="I2281" s="211"/>
      <c r="J2281" s="211"/>
      <c r="K2281" s="288"/>
    </row>
    <row r="2282" spans="4:11" x14ac:dyDescent="0.2">
      <c r="D2282" s="308"/>
      <c r="E2282" s="291"/>
      <c r="F2282" s="291"/>
      <c r="G2282" s="291"/>
      <c r="H2282" s="287"/>
      <c r="I2282" s="211"/>
      <c r="J2282" s="211"/>
      <c r="K2282" s="288"/>
    </row>
    <row r="2283" spans="4:11" x14ac:dyDescent="0.2">
      <c r="D2283" s="308"/>
      <c r="E2283" s="291"/>
      <c r="F2283" s="291"/>
      <c r="G2283" s="291"/>
      <c r="H2283" s="287"/>
      <c r="I2283" s="211"/>
      <c r="J2283" s="211"/>
      <c r="K2283" s="288"/>
    </row>
    <row r="2284" spans="4:11" x14ac:dyDescent="0.2">
      <c r="D2284" s="308"/>
      <c r="E2284" s="291"/>
      <c r="F2284" s="291"/>
      <c r="G2284" s="291"/>
      <c r="H2284" s="287"/>
      <c r="I2284" s="211"/>
      <c r="J2284" s="211"/>
      <c r="K2284" s="288"/>
    </row>
    <row r="2285" spans="4:11" x14ac:dyDescent="0.2">
      <c r="D2285" s="308"/>
      <c r="E2285" s="291"/>
      <c r="F2285" s="291"/>
      <c r="G2285" s="291"/>
      <c r="H2285" s="287"/>
      <c r="I2285" s="211"/>
      <c r="J2285" s="211"/>
      <c r="K2285" s="288"/>
    </row>
    <row r="2286" spans="4:11" x14ac:dyDescent="0.2">
      <c r="D2286" s="308"/>
      <c r="E2286" s="291"/>
      <c r="F2286" s="291"/>
      <c r="G2286" s="291"/>
      <c r="H2286" s="287"/>
      <c r="I2286" s="211"/>
      <c r="J2286" s="211"/>
      <c r="K2286" s="288"/>
    </row>
    <row r="2287" spans="4:11" x14ac:dyDescent="0.2">
      <c r="D2287" s="308"/>
      <c r="E2287" s="291"/>
      <c r="F2287" s="291"/>
      <c r="G2287" s="291"/>
      <c r="H2287" s="287"/>
      <c r="I2287" s="211"/>
      <c r="J2287" s="211"/>
      <c r="K2287" s="288"/>
    </row>
    <row r="2288" spans="4:11" x14ac:dyDescent="0.2">
      <c r="D2288" s="308"/>
      <c r="E2288" s="291"/>
      <c r="F2288" s="291"/>
      <c r="G2288" s="291"/>
      <c r="H2288" s="287"/>
      <c r="I2288" s="211"/>
      <c r="J2288" s="211"/>
      <c r="K2288" s="288"/>
    </row>
    <row r="2289" spans="4:11" x14ac:dyDescent="0.2">
      <c r="D2289" s="308"/>
      <c r="E2289" s="291"/>
      <c r="F2289" s="291"/>
      <c r="G2289" s="291"/>
      <c r="H2289" s="287"/>
      <c r="I2289" s="211"/>
      <c r="J2289" s="211"/>
      <c r="K2289" s="288"/>
    </row>
    <row r="2290" spans="4:11" x14ac:dyDescent="0.2">
      <c r="D2290" s="308"/>
      <c r="E2290" s="291"/>
      <c r="F2290" s="291"/>
      <c r="G2290" s="291"/>
      <c r="H2290" s="287"/>
      <c r="I2290" s="211"/>
      <c r="J2290" s="211"/>
      <c r="K2290" s="288"/>
    </row>
    <row r="2291" spans="4:11" x14ac:dyDescent="0.2">
      <c r="D2291" s="308"/>
      <c r="E2291" s="291"/>
      <c r="F2291" s="291"/>
      <c r="G2291" s="291"/>
      <c r="H2291" s="287"/>
      <c r="I2291" s="211"/>
      <c r="J2291" s="211"/>
      <c r="K2291" s="288"/>
    </row>
    <row r="2292" spans="4:11" x14ac:dyDescent="0.2">
      <c r="D2292" s="308"/>
      <c r="E2292" s="291"/>
      <c r="F2292" s="291"/>
      <c r="G2292" s="291"/>
      <c r="H2292" s="287"/>
      <c r="I2292" s="211"/>
      <c r="J2292" s="211"/>
      <c r="K2292" s="288"/>
    </row>
    <row r="2293" spans="4:11" x14ac:dyDescent="0.2">
      <c r="D2293" s="308"/>
      <c r="E2293" s="291"/>
      <c r="F2293" s="291"/>
      <c r="G2293" s="291"/>
      <c r="H2293" s="287"/>
      <c r="I2293" s="211"/>
      <c r="J2293" s="211"/>
      <c r="K2293" s="288"/>
    </row>
    <row r="2294" spans="4:11" x14ac:dyDescent="0.2">
      <c r="D2294" s="308"/>
      <c r="E2294" s="291"/>
      <c r="F2294" s="291"/>
      <c r="G2294" s="291"/>
      <c r="H2294" s="287"/>
      <c r="I2294" s="211"/>
      <c r="J2294" s="211"/>
      <c r="K2294" s="288"/>
    </row>
    <row r="2295" spans="4:11" x14ac:dyDescent="0.2">
      <c r="D2295" s="308"/>
      <c r="E2295" s="291"/>
      <c r="F2295" s="291"/>
      <c r="G2295" s="291"/>
      <c r="H2295" s="287"/>
      <c r="I2295" s="211"/>
      <c r="J2295" s="211"/>
      <c r="K2295" s="288"/>
    </row>
    <row r="2296" spans="4:11" x14ac:dyDescent="0.2">
      <c r="D2296" s="308"/>
      <c r="E2296" s="291"/>
      <c r="F2296" s="291"/>
      <c r="G2296" s="291"/>
      <c r="H2296" s="287"/>
      <c r="I2296" s="211"/>
      <c r="J2296" s="211"/>
      <c r="K2296" s="288"/>
    </row>
    <row r="2297" spans="4:11" x14ac:dyDescent="0.2">
      <c r="D2297" s="308"/>
      <c r="E2297" s="291"/>
      <c r="F2297" s="291"/>
      <c r="G2297" s="291"/>
      <c r="H2297" s="287"/>
      <c r="I2297" s="211"/>
      <c r="J2297" s="211"/>
      <c r="K2297" s="288"/>
    </row>
    <row r="2298" spans="4:11" x14ac:dyDescent="0.2">
      <c r="D2298" s="308"/>
      <c r="E2298" s="291"/>
      <c r="F2298" s="291"/>
      <c r="G2298" s="291"/>
      <c r="H2298" s="287"/>
      <c r="I2298" s="211"/>
      <c r="J2298" s="211"/>
      <c r="K2298" s="288"/>
    </row>
    <row r="2299" spans="4:11" x14ac:dyDescent="0.2">
      <c r="D2299" s="308"/>
      <c r="E2299" s="291"/>
      <c r="F2299" s="291"/>
      <c r="G2299" s="291"/>
      <c r="H2299" s="287"/>
      <c r="I2299" s="211"/>
      <c r="J2299" s="211"/>
      <c r="K2299" s="288"/>
    </row>
    <row r="2300" spans="4:11" x14ac:dyDescent="0.2">
      <c r="D2300" s="308"/>
      <c r="E2300" s="291"/>
      <c r="F2300" s="291"/>
      <c r="G2300" s="291"/>
      <c r="H2300" s="287"/>
      <c r="I2300" s="211"/>
      <c r="J2300" s="211"/>
      <c r="K2300" s="288"/>
    </row>
    <row r="2301" spans="4:11" x14ac:dyDescent="0.2">
      <c r="D2301" s="308"/>
      <c r="E2301" s="291"/>
      <c r="F2301" s="291"/>
      <c r="G2301" s="291"/>
      <c r="H2301" s="287"/>
      <c r="I2301" s="211"/>
      <c r="J2301" s="211"/>
      <c r="K2301" s="288"/>
    </row>
    <row r="2302" spans="4:11" x14ac:dyDescent="0.2">
      <c r="D2302" s="308"/>
      <c r="E2302" s="291"/>
      <c r="F2302" s="291"/>
      <c r="G2302" s="291"/>
      <c r="H2302" s="287"/>
      <c r="I2302" s="211"/>
      <c r="J2302" s="211"/>
      <c r="K2302" s="288"/>
    </row>
    <row r="2303" spans="4:11" x14ac:dyDescent="0.2">
      <c r="D2303" s="308"/>
      <c r="E2303" s="291"/>
      <c r="F2303" s="291"/>
      <c r="G2303" s="291"/>
      <c r="H2303" s="287"/>
      <c r="I2303" s="211"/>
      <c r="J2303" s="211"/>
      <c r="K2303" s="288"/>
    </row>
    <row r="2304" spans="4:11" x14ac:dyDescent="0.2">
      <c r="D2304" s="308"/>
      <c r="E2304" s="291"/>
      <c r="F2304" s="291"/>
      <c r="G2304" s="291"/>
      <c r="H2304" s="287"/>
      <c r="I2304" s="211"/>
      <c r="J2304" s="211"/>
      <c r="K2304" s="288"/>
    </row>
    <row r="2305" spans="4:11" x14ac:dyDescent="0.2">
      <c r="D2305" s="308"/>
      <c r="E2305" s="291"/>
      <c r="F2305" s="291"/>
      <c r="G2305" s="291"/>
      <c r="H2305" s="287"/>
      <c r="I2305" s="211"/>
      <c r="J2305" s="211"/>
      <c r="K2305" s="288"/>
    </row>
    <row r="2306" spans="4:11" x14ac:dyDescent="0.2">
      <c r="D2306" s="308"/>
      <c r="E2306" s="291"/>
      <c r="F2306" s="291"/>
      <c r="G2306" s="291"/>
      <c r="H2306" s="287"/>
      <c r="I2306" s="211"/>
      <c r="J2306" s="211"/>
      <c r="K2306" s="288"/>
    </row>
    <row r="2307" spans="4:11" x14ac:dyDescent="0.2">
      <c r="D2307" s="308"/>
      <c r="E2307" s="291"/>
      <c r="F2307" s="291"/>
      <c r="G2307" s="291"/>
      <c r="H2307" s="287"/>
      <c r="I2307" s="211"/>
      <c r="J2307" s="211"/>
      <c r="K2307" s="288"/>
    </row>
    <row r="2308" spans="4:11" x14ac:dyDescent="0.2">
      <c r="D2308" s="308"/>
      <c r="E2308" s="291"/>
      <c r="F2308" s="291"/>
      <c r="G2308" s="291"/>
      <c r="H2308" s="287"/>
      <c r="I2308" s="211"/>
      <c r="J2308" s="211"/>
      <c r="K2308" s="288"/>
    </row>
    <row r="2309" spans="4:11" x14ac:dyDescent="0.2">
      <c r="D2309" s="308"/>
      <c r="E2309" s="291"/>
      <c r="F2309" s="291"/>
      <c r="G2309" s="291"/>
      <c r="H2309" s="287"/>
      <c r="I2309" s="211"/>
      <c r="J2309" s="211"/>
      <c r="K2309" s="288"/>
    </row>
    <row r="2310" spans="4:11" x14ac:dyDescent="0.2">
      <c r="D2310" s="308"/>
      <c r="E2310" s="291"/>
      <c r="F2310" s="291"/>
      <c r="G2310" s="291"/>
      <c r="H2310" s="287"/>
      <c r="I2310" s="211"/>
      <c r="J2310" s="211"/>
      <c r="K2310" s="288"/>
    </row>
    <row r="2311" spans="4:11" x14ac:dyDescent="0.2">
      <c r="D2311" s="308"/>
      <c r="E2311" s="291"/>
      <c r="F2311" s="291"/>
      <c r="G2311" s="291"/>
      <c r="H2311" s="287"/>
      <c r="I2311" s="211"/>
      <c r="J2311" s="211"/>
      <c r="K2311" s="288"/>
    </row>
    <row r="2312" spans="4:11" x14ac:dyDescent="0.2">
      <c r="D2312" s="308"/>
      <c r="E2312" s="291"/>
      <c r="F2312" s="291"/>
      <c r="G2312" s="291"/>
      <c r="H2312" s="287"/>
      <c r="I2312" s="211"/>
      <c r="J2312" s="211"/>
      <c r="K2312" s="288"/>
    </row>
    <row r="2313" spans="4:11" x14ac:dyDescent="0.2">
      <c r="D2313" s="308"/>
      <c r="E2313" s="291"/>
      <c r="F2313" s="291"/>
      <c r="G2313" s="291"/>
      <c r="H2313" s="287"/>
      <c r="I2313" s="211"/>
      <c r="J2313" s="211"/>
      <c r="K2313" s="288"/>
    </row>
    <row r="2314" spans="4:11" x14ac:dyDescent="0.2">
      <c r="D2314" s="308"/>
      <c r="E2314" s="291"/>
      <c r="F2314" s="291"/>
      <c r="G2314" s="291"/>
      <c r="H2314" s="287"/>
      <c r="I2314" s="211"/>
      <c r="J2314" s="211"/>
      <c r="K2314" s="288"/>
    </row>
    <row r="2315" spans="4:11" x14ac:dyDescent="0.2">
      <c r="D2315" s="308"/>
      <c r="E2315" s="291"/>
      <c r="F2315" s="291"/>
      <c r="G2315" s="291"/>
      <c r="H2315" s="287"/>
      <c r="I2315" s="211"/>
      <c r="J2315" s="211"/>
      <c r="K2315" s="288"/>
    </row>
    <row r="2316" spans="4:11" x14ac:dyDescent="0.2">
      <c r="D2316" s="308"/>
      <c r="E2316" s="291"/>
      <c r="F2316" s="291"/>
      <c r="G2316" s="291"/>
      <c r="H2316" s="287"/>
      <c r="I2316" s="211"/>
      <c r="J2316" s="211"/>
      <c r="K2316" s="288"/>
    </row>
    <row r="2317" spans="4:11" x14ac:dyDescent="0.2">
      <c r="D2317" s="308"/>
      <c r="E2317" s="291"/>
      <c r="F2317" s="291"/>
      <c r="G2317" s="291"/>
      <c r="H2317" s="287"/>
      <c r="I2317" s="211"/>
      <c r="J2317" s="211"/>
      <c r="K2317" s="288"/>
    </row>
    <row r="2318" spans="4:11" x14ac:dyDescent="0.2">
      <c r="D2318" s="308"/>
      <c r="E2318" s="291"/>
      <c r="F2318" s="291"/>
      <c r="G2318" s="291"/>
      <c r="H2318" s="287"/>
      <c r="I2318" s="211"/>
      <c r="J2318" s="211"/>
      <c r="K2318" s="288"/>
    </row>
    <row r="2319" spans="4:11" x14ac:dyDescent="0.2">
      <c r="D2319" s="308"/>
      <c r="E2319" s="291"/>
      <c r="F2319" s="291"/>
      <c r="G2319" s="291"/>
      <c r="H2319" s="287"/>
      <c r="I2319" s="211"/>
      <c r="J2319" s="211"/>
      <c r="K2319" s="288"/>
    </row>
    <row r="2320" spans="4:11" x14ac:dyDescent="0.2">
      <c r="D2320" s="308"/>
      <c r="E2320" s="291"/>
      <c r="F2320" s="291"/>
      <c r="G2320" s="291"/>
      <c r="H2320" s="287"/>
      <c r="I2320" s="211"/>
      <c r="J2320" s="211"/>
      <c r="K2320" s="288"/>
    </row>
    <row r="2321" spans="4:11" x14ac:dyDescent="0.2">
      <c r="D2321" s="308"/>
      <c r="E2321" s="291"/>
      <c r="F2321" s="291"/>
      <c r="G2321" s="291"/>
      <c r="H2321" s="287"/>
      <c r="I2321" s="211"/>
      <c r="J2321" s="211"/>
      <c r="K2321" s="288"/>
    </row>
    <row r="2322" spans="4:11" x14ac:dyDescent="0.2">
      <c r="D2322" s="308"/>
      <c r="E2322" s="291"/>
      <c r="F2322" s="291"/>
      <c r="G2322" s="291"/>
      <c r="H2322" s="287"/>
      <c r="I2322" s="211"/>
      <c r="J2322" s="211"/>
      <c r="K2322" s="288"/>
    </row>
    <row r="2323" spans="4:11" x14ac:dyDescent="0.2">
      <c r="D2323" s="308"/>
      <c r="E2323" s="291"/>
      <c r="F2323" s="291"/>
      <c r="G2323" s="291"/>
      <c r="H2323" s="287"/>
      <c r="I2323" s="211"/>
      <c r="J2323" s="211"/>
      <c r="K2323" s="288"/>
    </row>
    <row r="2324" spans="4:11" x14ac:dyDescent="0.2">
      <c r="D2324" s="308"/>
      <c r="E2324" s="291"/>
      <c r="F2324" s="291"/>
      <c r="G2324" s="291"/>
      <c r="H2324" s="287"/>
      <c r="I2324" s="211"/>
      <c r="J2324" s="211"/>
      <c r="K2324" s="288"/>
    </row>
    <row r="2325" spans="4:11" x14ac:dyDescent="0.2">
      <c r="D2325" s="308"/>
      <c r="E2325" s="291"/>
      <c r="F2325" s="291"/>
      <c r="G2325" s="291"/>
      <c r="H2325" s="287"/>
      <c r="I2325" s="211"/>
      <c r="J2325" s="211"/>
      <c r="K2325" s="288"/>
    </row>
    <row r="2326" spans="4:11" x14ac:dyDescent="0.2">
      <c r="D2326" s="308"/>
      <c r="E2326" s="291"/>
      <c r="F2326" s="291"/>
      <c r="G2326" s="291"/>
      <c r="H2326" s="287"/>
      <c r="I2326" s="211"/>
      <c r="J2326" s="211"/>
      <c r="K2326" s="288"/>
    </row>
    <row r="2327" spans="4:11" x14ac:dyDescent="0.2">
      <c r="D2327" s="308"/>
      <c r="E2327" s="291"/>
      <c r="F2327" s="291"/>
      <c r="G2327" s="291"/>
      <c r="H2327" s="287"/>
      <c r="I2327" s="211"/>
      <c r="J2327" s="211"/>
      <c r="K2327" s="288"/>
    </row>
    <row r="2328" spans="4:11" x14ac:dyDescent="0.2">
      <c r="D2328" s="308"/>
      <c r="E2328" s="291"/>
      <c r="F2328" s="291"/>
      <c r="G2328" s="291"/>
      <c r="H2328" s="287"/>
      <c r="I2328" s="211"/>
      <c r="J2328" s="211"/>
      <c r="K2328" s="288"/>
    </row>
    <row r="2329" spans="4:11" x14ac:dyDescent="0.2">
      <c r="D2329" s="308"/>
      <c r="E2329" s="291"/>
      <c r="F2329" s="291"/>
      <c r="G2329" s="291"/>
      <c r="H2329" s="287"/>
      <c r="I2329" s="211"/>
      <c r="J2329" s="211"/>
      <c r="K2329" s="288"/>
    </row>
    <row r="2330" spans="4:11" x14ac:dyDescent="0.2">
      <c r="D2330" s="308"/>
      <c r="E2330" s="291"/>
      <c r="F2330" s="291"/>
      <c r="G2330" s="291"/>
      <c r="H2330" s="287"/>
      <c r="I2330" s="211"/>
      <c r="J2330" s="211"/>
      <c r="K2330" s="288"/>
    </row>
    <row r="2331" spans="4:11" x14ac:dyDescent="0.2">
      <c r="D2331" s="308"/>
      <c r="E2331" s="291"/>
      <c r="F2331" s="291"/>
      <c r="G2331" s="291"/>
      <c r="H2331" s="287"/>
      <c r="I2331" s="211"/>
      <c r="J2331" s="211"/>
      <c r="K2331" s="288"/>
    </row>
    <row r="2332" spans="4:11" x14ac:dyDescent="0.2">
      <c r="D2332" s="308"/>
      <c r="E2332" s="291"/>
      <c r="F2332" s="291"/>
      <c r="G2332" s="291"/>
      <c r="H2332" s="287"/>
      <c r="I2332" s="211"/>
      <c r="J2332" s="211"/>
      <c r="K2332" s="288"/>
    </row>
    <row r="2333" spans="4:11" x14ac:dyDescent="0.2">
      <c r="D2333" s="308"/>
      <c r="E2333" s="291"/>
      <c r="F2333" s="291"/>
      <c r="G2333" s="291"/>
      <c r="H2333" s="287"/>
      <c r="I2333" s="211"/>
      <c r="J2333" s="211"/>
      <c r="K2333" s="288"/>
    </row>
    <row r="2334" spans="4:11" x14ac:dyDescent="0.2">
      <c r="D2334" s="308"/>
      <c r="E2334" s="291"/>
      <c r="F2334" s="291"/>
      <c r="G2334" s="291"/>
      <c r="H2334" s="287"/>
      <c r="I2334" s="211"/>
      <c r="J2334" s="211"/>
      <c r="K2334" s="288"/>
    </row>
    <row r="2335" spans="4:11" x14ac:dyDescent="0.2">
      <c r="D2335" s="308"/>
      <c r="E2335" s="291"/>
      <c r="F2335" s="291"/>
      <c r="G2335" s="291"/>
      <c r="H2335" s="287"/>
      <c r="I2335" s="211"/>
      <c r="J2335" s="211"/>
      <c r="K2335" s="288"/>
    </row>
    <row r="2336" spans="4:11" x14ac:dyDescent="0.2">
      <c r="D2336" s="308"/>
      <c r="E2336" s="291"/>
      <c r="F2336" s="291"/>
      <c r="G2336" s="291"/>
      <c r="H2336" s="287"/>
      <c r="I2336" s="211"/>
      <c r="J2336" s="211"/>
      <c r="K2336" s="288"/>
    </row>
    <row r="2337" spans="4:11" x14ac:dyDescent="0.2">
      <c r="D2337" s="308"/>
      <c r="E2337" s="291"/>
      <c r="F2337" s="291"/>
      <c r="G2337" s="291"/>
      <c r="H2337" s="287"/>
      <c r="I2337" s="211"/>
      <c r="J2337" s="211"/>
      <c r="K2337" s="288"/>
    </row>
    <row r="2338" spans="4:11" x14ac:dyDescent="0.2">
      <c r="D2338" s="308"/>
      <c r="E2338" s="291"/>
      <c r="F2338" s="291"/>
      <c r="G2338" s="291"/>
      <c r="H2338" s="287"/>
      <c r="I2338" s="211"/>
      <c r="J2338" s="211"/>
      <c r="K2338" s="288"/>
    </row>
    <row r="2339" spans="4:11" x14ac:dyDescent="0.2">
      <c r="D2339" s="308"/>
      <c r="E2339" s="291"/>
      <c r="F2339" s="291"/>
      <c r="G2339" s="291"/>
      <c r="H2339" s="287"/>
      <c r="I2339" s="211"/>
      <c r="J2339" s="211"/>
      <c r="K2339" s="288"/>
    </row>
    <row r="2340" spans="4:11" x14ac:dyDescent="0.2">
      <c r="D2340" s="308"/>
      <c r="E2340" s="291"/>
      <c r="F2340" s="291"/>
      <c r="G2340" s="291"/>
      <c r="H2340" s="287"/>
      <c r="I2340" s="211"/>
      <c r="J2340" s="211"/>
      <c r="K2340" s="288"/>
    </row>
    <row r="2341" spans="4:11" x14ac:dyDescent="0.2">
      <c r="D2341" s="308"/>
      <c r="E2341" s="291"/>
      <c r="F2341" s="291"/>
      <c r="G2341" s="291"/>
      <c r="H2341" s="287"/>
      <c r="I2341" s="211"/>
      <c r="J2341" s="211"/>
      <c r="K2341" s="288"/>
    </row>
    <row r="2342" spans="4:11" x14ac:dyDescent="0.2">
      <c r="D2342" s="308"/>
      <c r="E2342" s="291"/>
      <c r="F2342" s="291"/>
      <c r="G2342" s="291"/>
      <c r="H2342" s="287"/>
      <c r="I2342" s="211"/>
      <c r="J2342" s="211"/>
      <c r="K2342" s="288"/>
    </row>
    <row r="2343" spans="4:11" x14ac:dyDescent="0.2">
      <c r="D2343" s="308"/>
      <c r="E2343" s="291"/>
      <c r="F2343" s="291"/>
      <c r="G2343" s="291"/>
      <c r="H2343" s="287"/>
      <c r="I2343" s="211"/>
      <c r="J2343" s="211"/>
      <c r="K2343" s="288"/>
    </row>
    <row r="2344" spans="4:11" x14ac:dyDescent="0.2">
      <c r="D2344" s="308"/>
      <c r="E2344" s="291"/>
      <c r="F2344" s="291"/>
      <c r="G2344" s="291"/>
      <c r="H2344" s="287"/>
      <c r="I2344" s="211"/>
      <c r="J2344" s="211"/>
      <c r="K2344" s="288"/>
    </row>
    <row r="2345" spans="4:11" x14ac:dyDescent="0.2">
      <c r="D2345" s="308"/>
      <c r="E2345" s="291"/>
      <c r="F2345" s="291"/>
      <c r="G2345" s="291"/>
      <c r="H2345" s="287"/>
      <c r="I2345" s="211"/>
      <c r="J2345" s="211"/>
      <c r="K2345" s="288"/>
    </row>
    <row r="2346" spans="4:11" x14ac:dyDescent="0.2">
      <c r="D2346" s="308"/>
      <c r="E2346" s="291"/>
      <c r="F2346" s="291"/>
      <c r="G2346" s="291"/>
      <c r="H2346" s="287"/>
      <c r="I2346" s="211"/>
      <c r="J2346" s="211"/>
      <c r="K2346" s="288"/>
    </row>
    <row r="2347" spans="4:11" x14ac:dyDescent="0.2">
      <c r="D2347" s="308"/>
      <c r="E2347" s="291"/>
      <c r="F2347" s="291"/>
      <c r="G2347" s="291"/>
      <c r="H2347" s="287"/>
      <c r="I2347" s="211"/>
      <c r="J2347" s="211"/>
      <c r="K2347" s="288"/>
    </row>
    <row r="2348" spans="4:11" x14ac:dyDescent="0.2">
      <c r="D2348" s="308"/>
      <c r="E2348" s="291"/>
      <c r="F2348" s="291"/>
      <c r="G2348" s="291"/>
      <c r="H2348" s="287"/>
      <c r="I2348" s="211"/>
      <c r="J2348" s="211"/>
      <c r="K2348" s="288"/>
    </row>
    <row r="2349" spans="4:11" x14ac:dyDescent="0.2">
      <c r="D2349" s="308"/>
      <c r="E2349" s="291"/>
      <c r="F2349" s="291"/>
      <c r="G2349" s="291"/>
      <c r="H2349" s="287"/>
      <c r="I2349" s="211"/>
      <c r="J2349" s="211"/>
      <c r="K2349" s="288"/>
    </row>
    <row r="2350" spans="4:11" x14ac:dyDescent="0.2">
      <c r="D2350" s="308"/>
      <c r="E2350" s="291"/>
      <c r="F2350" s="291"/>
      <c r="G2350" s="291"/>
      <c r="H2350" s="287"/>
      <c r="I2350" s="211"/>
      <c r="J2350" s="211"/>
      <c r="K2350" s="288"/>
    </row>
    <row r="2351" spans="4:11" x14ac:dyDescent="0.2">
      <c r="D2351" s="308"/>
      <c r="E2351" s="291"/>
      <c r="F2351" s="291"/>
      <c r="G2351" s="291"/>
      <c r="H2351" s="287"/>
      <c r="I2351" s="211"/>
      <c r="J2351" s="211"/>
      <c r="K2351" s="288"/>
    </row>
    <row r="2352" spans="4:11" x14ac:dyDescent="0.2">
      <c r="D2352" s="308"/>
      <c r="E2352" s="291"/>
      <c r="F2352" s="291"/>
      <c r="G2352" s="291"/>
      <c r="H2352" s="287"/>
      <c r="I2352" s="211"/>
      <c r="J2352" s="211"/>
      <c r="K2352" s="288"/>
    </row>
    <row r="2353" spans="4:11" x14ac:dyDescent="0.2">
      <c r="D2353" s="308"/>
      <c r="E2353" s="291"/>
      <c r="F2353" s="291"/>
      <c r="G2353" s="291"/>
      <c r="H2353" s="287"/>
      <c r="I2353" s="211"/>
      <c r="J2353" s="211"/>
      <c r="K2353" s="288"/>
    </row>
    <row r="2354" spans="4:11" x14ac:dyDescent="0.2">
      <c r="D2354" s="308"/>
      <c r="E2354" s="291"/>
      <c r="F2354" s="291"/>
      <c r="G2354" s="291"/>
      <c r="H2354" s="287"/>
      <c r="I2354" s="211"/>
      <c r="J2354" s="211"/>
      <c r="K2354" s="288"/>
    </row>
    <row r="2355" spans="4:11" x14ac:dyDescent="0.2">
      <c r="D2355" s="308"/>
      <c r="E2355" s="291"/>
      <c r="F2355" s="291"/>
      <c r="G2355" s="291"/>
      <c r="H2355" s="287"/>
      <c r="I2355" s="211"/>
      <c r="J2355" s="211"/>
      <c r="K2355" s="288"/>
    </row>
    <row r="2356" spans="4:11" x14ac:dyDescent="0.2">
      <c r="D2356" s="308"/>
      <c r="E2356" s="291"/>
      <c r="F2356" s="291"/>
      <c r="G2356" s="291"/>
      <c r="H2356" s="287"/>
      <c r="I2356" s="211"/>
      <c r="J2356" s="211"/>
      <c r="K2356" s="288"/>
    </row>
    <row r="2357" spans="4:11" x14ac:dyDescent="0.2">
      <c r="D2357" s="308"/>
      <c r="E2357" s="291"/>
      <c r="F2357" s="291"/>
      <c r="G2357" s="291"/>
      <c r="H2357" s="287"/>
      <c r="I2357" s="211"/>
      <c r="J2357" s="211"/>
      <c r="K2357" s="288"/>
    </row>
    <row r="2358" spans="4:11" x14ac:dyDescent="0.2">
      <c r="D2358" s="308"/>
      <c r="E2358" s="291"/>
      <c r="F2358" s="291"/>
      <c r="G2358" s="291"/>
      <c r="H2358" s="287"/>
      <c r="I2358" s="211"/>
      <c r="J2358" s="211"/>
      <c r="K2358" s="288"/>
    </row>
    <row r="2359" spans="4:11" x14ac:dyDescent="0.2">
      <c r="D2359" s="308"/>
      <c r="E2359" s="291"/>
      <c r="F2359" s="291"/>
      <c r="G2359" s="291"/>
      <c r="H2359" s="287"/>
      <c r="I2359" s="211"/>
      <c r="J2359" s="211"/>
      <c r="K2359" s="288"/>
    </row>
    <row r="2360" spans="4:11" x14ac:dyDescent="0.2">
      <c r="D2360" s="308"/>
      <c r="E2360" s="291"/>
      <c r="F2360" s="291"/>
      <c r="G2360" s="291"/>
      <c r="H2360" s="287"/>
      <c r="I2360" s="211"/>
      <c r="J2360" s="211"/>
      <c r="K2360" s="288"/>
    </row>
    <row r="2361" spans="4:11" x14ac:dyDescent="0.2">
      <c r="D2361" s="308"/>
      <c r="E2361" s="291"/>
      <c r="F2361" s="291"/>
      <c r="G2361" s="291"/>
      <c r="H2361" s="287"/>
      <c r="I2361" s="211"/>
      <c r="J2361" s="211"/>
      <c r="K2361" s="288"/>
    </row>
    <row r="2362" spans="4:11" x14ac:dyDescent="0.2">
      <c r="D2362" s="308"/>
      <c r="E2362" s="291"/>
      <c r="F2362" s="291"/>
      <c r="G2362" s="291"/>
      <c r="H2362" s="287"/>
      <c r="I2362" s="211"/>
      <c r="J2362" s="211"/>
      <c r="K2362" s="288"/>
    </row>
    <row r="2363" spans="4:11" x14ac:dyDescent="0.2">
      <c r="D2363" s="308"/>
      <c r="E2363" s="291"/>
      <c r="F2363" s="291"/>
      <c r="G2363" s="291"/>
      <c r="H2363" s="287"/>
      <c r="I2363" s="211"/>
      <c r="J2363" s="211"/>
      <c r="K2363" s="288"/>
    </row>
    <row r="2364" spans="4:11" x14ac:dyDescent="0.2">
      <c r="D2364" s="308"/>
      <c r="E2364" s="291"/>
      <c r="F2364" s="291"/>
      <c r="G2364" s="291"/>
      <c r="H2364" s="287"/>
      <c r="I2364" s="211"/>
      <c r="J2364" s="211"/>
      <c r="K2364" s="288"/>
    </row>
    <row r="2365" spans="4:11" x14ac:dyDescent="0.2">
      <c r="D2365" s="308"/>
      <c r="E2365" s="291"/>
      <c r="F2365" s="291"/>
      <c r="G2365" s="291"/>
      <c r="H2365" s="287"/>
      <c r="I2365" s="211"/>
      <c r="J2365" s="211"/>
      <c r="K2365" s="288"/>
    </row>
    <row r="2366" spans="4:11" x14ac:dyDescent="0.2">
      <c r="D2366" s="308"/>
      <c r="E2366" s="291"/>
      <c r="F2366" s="291"/>
      <c r="G2366" s="291"/>
      <c r="H2366" s="287"/>
      <c r="I2366" s="211"/>
      <c r="J2366" s="211"/>
      <c r="K2366" s="288"/>
    </row>
    <row r="2367" spans="4:11" x14ac:dyDescent="0.2">
      <c r="D2367" s="308"/>
      <c r="E2367" s="291"/>
      <c r="F2367" s="291"/>
      <c r="G2367" s="291"/>
      <c r="H2367" s="287"/>
      <c r="I2367" s="211"/>
      <c r="J2367" s="211"/>
      <c r="K2367" s="288"/>
    </row>
    <row r="2368" spans="4:11" x14ac:dyDescent="0.2">
      <c r="D2368" s="308"/>
      <c r="E2368" s="291"/>
      <c r="F2368" s="291"/>
      <c r="G2368" s="291"/>
      <c r="H2368" s="287"/>
      <c r="I2368" s="211"/>
      <c r="J2368" s="211"/>
      <c r="K2368" s="288"/>
    </row>
    <row r="2369" spans="4:11" x14ac:dyDescent="0.2">
      <c r="D2369" s="308"/>
      <c r="E2369" s="291"/>
      <c r="F2369" s="291"/>
      <c r="G2369" s="291"/>
      <c r="H2369" s="287"/>
      <c r="I2369" s="211"/>
      <c r="J2369" s="211"/>
      <c r="K2369" s="288"/>
    </row>
    <row r="2370" spans="4:11" x14ac:dyDescent="0.2">
      <c r="D2370" s="308"/>
      <c r="E2370" s="291"/>
      <c r="F2370" s="291"/>
      <c r="G2370" s="291"/>
      <c r="H2370" s="287"/>
      <c r="I2370" s="211"/>
      <c r="J2370" s="211"/>
      <c r="K2370" s="288"/>
    </row>
    <row r="2371" spans="4:11" x14ac:dyDescent="0.2">
      <c r="D2371" s="308"/>
      <c r="E2371" s="291"/>
      <c r="F2371" s="291"/>
      <c r="G2371" s="291"/>
      <c r="H2371" s="287"/>
      <c r="I2371" s="211"/>
      <c r="J2371" s="211"/>
      <c r="K2371" s="288"/>
    </row>
    <row r="2372" spans="4:11" x14ac:dyDescent="0.2">
      <c r="D2372" s="308"/>
      <c r="E2372" s="291"/>
      <c r="F2372" s="291"/>
      <c r="G2372" s="291"/>
      <c r="H2372" s="287"/>
      <c r="I2372" s="211"/>
      <c r="J2372" s="211"/>
      <c r="K2372" s="288"/>
    </row>
    <row r="2373" spans="4:11" x14ac:dyDescent="0.2">
      <c r="D2373" s="308"/>
      <c r="E2373" s="291"/>
      <c r="F2373" s="291"/>
      <c r="G2373" s="291"/>
      <c r="H2373" s="287"/>
      <c r="I2373" s="211"/>
      <c r="J2373" s="211"/>
      <c r="K2373" s="288"/>
    </row>
    <row r="2374" spans="4:11" x14ac:dyDescent="0.2">
      <c r="D2374" s="308"/>
      <c r="E2374" s="291"/>
      <c r="F2374" s="291"/>
      <c r="G2374" s="291"/>
      <c r="H2374" s="287"/>
      <c r="I2374" s="211"/>
      <c r="J2374" s="211"/>
      <c r="K2374" s="288"/>
    </row>
    <row r="2375" spans="4:11" x14ac:dyDescent="0.2">
      <c r="D2375" s="308"/>
      <c r="E2375" s="291"/>
      <c r="F2375" s="291"/>
      <c r="G2375" s="291"/>
      <c r="H2375" s="287"/>
      <c r="I2375" s="211"/>
      <c r="J2375" s="211"/>
      <c r="K2375" s="288"/>
    </row>
    <row r="2376" spans="4:11" x14ac:dyDescent="0.2">
      <c r="D2376" s="308"/>
      <c r="E2376" s="291"/>
      <c r="F2376" s="291"/>
      <c r="G2376" s="291"/>
      <c r="H2376" s="287"/>
      <c r="I2376" s="211"/>
      <c r="J2376" s="211"/>
      <c r="K2376" s="288"/>
    </row>
    <row r="2377" spans="4:11" x14ac:dyDescent="0.2">
      <c r="D2377" s="308"/>
      <c r="E2377" s="291"/>
      <c r="F2377" s="291"/>
      <c r="G2377" s="291"/>
      <c r="H2377" s="287"/>
      <c r="I2377" s="211"/>
      <c r="J2377" s="211"/>
      <c r="K2377" s="288"/>
    </row>
    <row r="2378" spans="4:11" x14ac:dyDescent="0.2">
      <c r="D2378" s="308"/>
      <c r="E2378" s="291"/>
      <c r="F2378" s="291"/>
      <c r="G2378" s="291"/>
      <c r="H2378" s="287"/>
      <c r="I2378" s="211"/>
      <c r="J2378" s="211"/>
      <c r="K2378" s="288"/>
    </row>
    <row r="2379" spans="4:11" x14ac:dyDescent="0.2">
      <c r="D2379" s="308"/>
      <c r="E2379" s="291"/>
      <c r="F2379" s="291"/>
      <c r="G2379" s="291"/>
      <c r="H2379" s="287"/>
      <c r="I2379" s="211"/>
      <c r="J2379" s="211"/>
      <c r="K2379" s="288"/>
    </row>
    <row r="2380" spans="4:11" x14ac:dyDescent="0.2">
      <c r="D2380" s="308"/>
      <c r="E2380" s="291"/>
      <c r="F2380" s="291"/>
      <c r="G2380" s="291"/>
      <c r="H2380" s="287"/>
      <c r="I2380" s="211"/>
      <c r="J2380" s="211"/>
      <c r="K2380" s="288"/>
    </row>
    <row r="2381" spans="4:11" x14ac:dyDescent="0.2">
      <c r="D2381" s="308"/>
      <c r="E2381" s="291"/>
      <c r="F2381" s="291"/>
      <c r="G2381" s="291"/>
      <c r="H2381" s="287"/>
      <c r="I2381" s="211"/>
      <c r="J2381" s="211"/>
      <c r="K2381" s="288"/>
    </row>
    <row r="2382" spans="4:11" x14ac:dyDescent="0.2">
      <c r="D2382" s="308"/>
      <c r="E2382" s="291"/>
      <c r="F2382" s="291"/>
      <c r="G2382" s="291"/>
      <c r="H2382" s="287"/>
      <c r="I2382" s="211"/>
      <c r="J2382" s="211"/>
      <c r="K2382" s="288"/>
    </row>
    <row r="2383" spans="4:11" x14ac:dyDescent="0.2">
      <c r="D2383" s="308"/>
      <c r="E2383" s="291"/>
      <c r="F2383" s="291"/>
      <c r="G2383" s="291"/>
      <c r="H2383" s="287"/>
      <c r="I2383" s="211"/>
      <c r="J2383" s="211"/>
      <c r="K2383" s="288"/>
    </row>
    <row r="2384" spans="4:11" x14ac:dyDescent="0.2">
      <c r="D2384" s="308"/>
      <c r="E2384" s="291"/>
      <c r="F2384" s="291"/>
      <c r="G2384" s="291"/>
      <c r="H2384" s="287"/>
      <c r="I2384" s="211"/>
      <c r="J2384" s="211"/>
      <c r="K2384" s="288"/>
    </row>
    <row r="2385" spans="4:11" x14ac:dyDescent="0.2">
      <c r="D2385" s="308"/>
      <c r="E2385" s="291"/>
      <c r="F2385" s="291"/>
      <c r="G2385" s="291"/>
      <c r="H2385" s="287"/>
      <c r="I2385" s="211"/>
      <c r="J2385" s="211"/>
      <c r="K2385" s="288"/>
    </row>
    <row r="2386" spans="4:11" x14ac:dyDescent="0.2">
      <c r="D2386" s="308"/>
      <c r="E2386" s="291"/>
      <c r="F2386" s="291"/>
      <c r="G2386" s="291"/>
      <c r="H2386" s="287"/>
      <c r="I2386" s="211"/>
      <c r="J2386" s="211"/>
      <c r="K2386" s="288"/>
    </row>
    <row r="2387" spans="4:11" x14ac:dyDescent="0.2">
      <c r="D2387" s="308"/>
      <c r="E2387" s="291"/>
      <c r="F2387" s="291"/>
      <c r="G2387" s="291"/>
      <c r="H2387" s="287"/>
      <c r="I2387" s="211"/>
      <c r="J2387" s="211"/>
      <c r="K2387" s="288"/>
    </row>
    <row r="2388" spans="4:11" x14ac:dyDescent="0.2">
      <c r="D2388" s="308"/>
      <c r="E2388" s="291"/>
      <c r="F2388" s="291"/>
      <c r="G2388" s="291"/>
      <c r="H2388" s="287"/>
      <c r="I2388" s="211"/>
      <c r="J2388" s="211"/>
      <c r="K2388" s="288"/>
    </row>
    <row r="2389" spans="4:11" x14ac:dyDescent="0.2">
      <c r="D2389" s="308"/>
      <c r="E2389" s="291"/>
      <c r="F2389" s="291"/>
      <c r="G2389" s="291"/>
      <c r="H2389" s="287"/>
      <c r="I2389" s="211"/>
      <c r="J2389" s="211"/>
      <c r="K2389" s="288"/>
    </row>
    <row r="2390" spans="4:11" x14ac:dyDescent="0.2">
      <c r="D2390" s="308"/>
      <c r="E2390" s="291"/>
      <c r="F2390" s="291"/>
      <c r="G2390" s="291"/>
      <c r="H2390" s="287"/>
      <c r="I2390" s="211"/>
      <c r="J2390" s="211"/>
      <c r="K2390" s="288"/>
    </row>
    <row r="2391" spans="4:11" x14ac:dyDescent="0.2">
      <c r="D2391" s="308"/>
      <c r="E2391" s="291"/>
      <c r="F2391" s="291"/>
      <c r="G2391" s="291"/>
      <c r="H2391" s="287"/>
      <c r="I2391" s="211"/>
      <c r="J2391" s="211"/>
      <c r="K2391" s="288"/>
    </row>
    <row r="2392" spans="4:11" x14ac:dyDescent="0.2">
      <c r="D2392" s="308"/>
      <c r="E2392" s="291"/>
      <c r="F2392" s="291"/>
      <c r="G2392" s="291"/>
      <c r="H2392" s="287"/>
      <c r="I2392" s="211"/>
      <c r="J2392" s="211"/>
      <c r="K2392" s="288"/>
    </row>
    <row r="2393" spans="4:11" x14ac:dyDescent="0.2">
      <c r="D2393" s="308"/>
      <c r="E2393" s="291"/>
      <c r="F2393" s="291"/>
      <c r="G2393" s="291"/>
      <c r="H2393" s="287"/>
      <c r="I2393" s="211"/>
      <c r="J2393" s="211"/>
      <c r="K2393" s="288"/>
    </row>
    <row r="2394" spans="4:11" x14ac:dyDescent="0.2">
      <c r="D2394" s="308"/>
      <c r="E2394" s="291"/>
      <c r="F2394" s="291"/>
      <c r="G2394" s="291"/>
      <c r="H2394" s="287"/>
      <c r="I2394" s="211"/>
      <c r="J2394" s="211"/>
      <c r="K2394" s="288"/>
    </row>
    <row r="2395" spans="4:11" x14ac:dyDescent="0.2">
      <c r="D2395" s="308"/>
      <c r="E2395" s="291"/>
      <c r="F2395" s="291"/>
      <c r="G2395" s="291"/>
      <c r="H2395" s="287"/>
      <c r="I2395" s="211"/>
      <c r="J2395" s="211"/>
      <c r="K2395" s="288"/>
    </row>
    <row r="2396" spans="4:11" x14ac:dyDescent="0.2">
      <c r="D2396" s="308"/>
      <c r="E2396" s="291"/>
      <c r="F2396" s="291"/>
      <c r="G2396" s="291"/>
      <c r="H2396" s="287"/>
      <c r="I2396" s="211"/>
      <c r="J2396" s="211"/>
      <c r="K2396" s="288"/>
    </row>
    <row r="2397" spans="4:11" x14ac:dyDescent="0.2">
      <c r="D2397" s="308"/>
      <c r="E2397" s="291"/>
      <c r="F2397" s="291"/>
      <c r="G2397" s="291"/>
      <c r="H2397" s="287"/>
      <c r="I2397" s="211"/>
      <c r="J2397" s="211"/>
      <c r="K2397" s="288"/>
    </row>
    <row r="2398" spans="4:11" x14ac:dyDescent="0.2">
      <c r="D2398" s="308"/>
      <c r="E2398" s="291"/>
      <c r="F2398" s="291"/>
      <c r="G2398" s="291"/>
      <c r="H2398" s="287"/>
      <c r="I2398" s="211"/>
      <c r="J2398" s="211"/>
      <c r="K2398" s="288"/>
    </row>
    <row r="2399" spans="4:11" x14ac:dyDescent="0.2">
      <c r="D2399" s="308"/>
      <c r="E2399" s="291"/>
      <c r="F2399" s="291"/>
      <c r="G2399" s="291"/>
      <c r="H2399" s="287"/>
      <c r="I2399" s="211"/>
      <c r="J2399" s="211"/>
      <c r="K2399" s="288"/>
    </row>
    <row r="2400" spans="4:11" x14ac:dyDescent="0.2">
      <c r="D2400" s="308"/>
      <c r="E2400" s="291"/>
      <c r="F2400" s="291"/>
      <c r="G2400" s="291"/>
      <c r="H2400" s="287"/>
      <c r="I2400" s="211"/>
      <c r="J2400" s="211"/>
      <c r="K2400" s="288"/>
    </row>
    <row r="2401" spans="4:11" x14ac:dyDescent="0.2">
      <c r="D2401" s="308"/>
      <c r="E2401" s="291"/>
      <c r="F2401" s="291"/>
      <c r="G2401" s="291"/>
      <c r="H2401" s="287"/>
      <c r="I2401" s="211"/>
      <c r="J2401" s="211"/>
      <c r="K2401" s="288"/>
    </row>
    <row r="2402" spans="4:11" x14ac:dyDescent="0.2">
      <c r="D2402" s="308"/>
      <c r="E2402" s="291"/>
      <c r="F2402" s="291"/>
      <c r="G2402" s="291"/>
      <c r="H2402" s="287"/>
      <c r="I2402" s="211"/>
      <c r="J2402" s="211"/>
      <c r="K2402" s="288"/>
    </row>
    <row r="2403" spans="4:11" x14ac:dyDescent="0.2">
      <c r="D2403" s="308"/>
      <c r="E2403" s="291"/>
      <c r="F2403" s="291"/>
      <c r="G2403" s="291"/>
      <c r="H2403" s="287"/>
      <c r="I2403" s="211"/>
      <c r="J2403" s="211"/>
      <c r="K2403" s="288"/>
    </row>
    <row r="2404" spans="4:11" x14ac:dyDescent="0.2">
      <c r="D2404" s="308"/>
      <c r="E2404" s="291"/>
      <c r="F2404" s="291"/>
      <c r="G2404" s="291"/>
      <c r="H2404" s="287"/>
      <c r="I2404" s="211"/>
      <c r="J2404" s="211"/>
      <c r="K2404" s="288"/>
    </row>
    <row r="2405" spans="4:11" x14ac:dyDescent="0.2">
      <c r="D2405" s="308"/>
      <c r="E2405" s="291"/>
      <c r="F2405" s="291"/>
      <c r="G2405" s="291"/>
      <c r="H2405" s="287"/>
      <c r="I2405" s="211"/>
      <c r="J2405" s="211"/>
      <c r="K2405" s="288"/>
    </row>
    <row r="2406" spans="4:11" x14ac:dyDescent="0.2">
      <c r="D2406" s="308"/>
      <c r="E2406" s="291"/>
      <c r="F2406" s="291"/>
      <c r="G2406" s="291"/>
      <c r="H2406" s="287"/>
      <c r="I2406" s="211"/>
      <c r="J2406" s="211"/>
      <c r="K2406" s="288"/>
    </row>
    <row r="2407" spans="4:11" x14ac:dyDescent="0.2">
      <c r="D2407" s="308"/>
      <c r="E2407" s="291"/>
      <c r="F2407" s="291"/>
      <c r="G2407" s="291"/>
      <c r="H2407" s="287"/>
      <c r="I2407" s="211"/>
      <c r="J2407" s="211"/>
      <c r="K2407" s="288"/>
    </row>
    <row r="2408" spans="4:11" x14ac:dyDescent="0.2">
      <c r="D2408" s="308"/>
      <c r="E2408" s="291"/>
      <c r="F2408" s="291"/>
      <c r="G2408" s="291"/>
      <c r="H2408" s="287"/>
      <c r="I2408" s="211"/>
      <c r="J2408" s="211"/>
      <c r="K2408" s="288"/>
    </row>
    <row r="2409" spans="4:11" x14ac:dyDescent="0.2">
      <c r="D2409" s="308"/>
      <c r="E2409" s="291"/>
      <c r="F2409" s="291"/>
      <c r="G2409" s="291"/>
      <c r="H2409" s="287"/>
      <c r="I2409" s="211"/>
      <c r="J2409" s="211"/>
      <c r="K2409" s="288"/>
    </row>
    <row r="2410" spans="4:11" x14ac:dyDescent="0.2">
      <c r="D2410" s="308"/>
      <c r="E2410" s="291"/>
      <c r="F2410" s="291"/>
      <c r="G2410" s="291"/>
      <c r="H2410" s="287"/>
      <c r="I2410" s="211"/>
      <c r="J2410" s="211"/>
      <c r="K2410" s="288"/>
    </row>
    <row r="2411" spans="4:11" x14ac:dyDescent="0.2">
      <c r="D2411" s="308"/>
      <c r="E2411" s="291"/>
      <c r="F2411" s="291"/>
      <c r="G2411" s="291"/>
      <c r="H2411" s="287"/>
      <c r="I2411" s="211"/>
      <c r="J2411" s="211"/>
      <c r="K2411" s="288"/>
    </row>
    <row r="2412" spans="4:11" x14ac:dyDescent="0.2">
      <c r="D2412" s="308"/>
      <c r="E2412" s="291"/>
      <c r="F2412" s="291"/>
      <c r="G2412" s="291"/>
      <c r="H2412" s="287"/>
      <c r="I2412" s="211"/>
      <c r="J2412" s="211"/>
      <c r="K2412" s="288"/>
    </row>
    <row r="2413" spans="4:11" x14ac:dyDescent="0.2">
      <c r="D2413" s="308"/>
      <c r="E2413" s="291"/>
      <c r="F2413" s="291"/>
      <c r="G2413" s="291"/>
      <c r="H2413" s="287"/>
      <c r="I2413" s="211"/>
      <c r="J2413" s="211"/>
      <c r="K2413" s="288"/>
    </row>
    <row r="2414" spans="4:11" x14ac:dyDescent="0.2">
      <c r="D2414" s="308"/>
      <c r="E2414" s="291"/>
      <c r="F2414" s="291"/>
      <c r="G2414" s="291"/>
      <c r="H2414" s="287"/>
      <c r="I2414" s="211"/>
      <c r="J2414" s="211"/>
      <c r="K2414" s="288"/>
    </row>
    <row r="2415" spans="4:11" x14ac:dyDescent="0.2">
      <c r="D2415" s="308"/>
      <c r="E2415" s="291"/>
      <c r="F2415" s="291"/>
      <c r="G2415" s="291"/>
      <c r="H2415" s="287"/>
      <c r="I2415" s="211"/>
      <c r="J2415" s="211"/>
      <c r="K2415" s="288"/>
    </row>
    <row r="2416" spans="4:11" x14ac:dyDescent="0.2">
      <c r="D2416" s="308"/>
      <c r="E2416" s="291"/>
      <c r="F2416" s="291"/>
      <c r="G2416" s="291"/>
      <c r="H2416" s="287"/>
      <c r="I2416" s="211"/>
      <c r="J2416" s="211"/>
      <c r="K2416" s="288"/>
    </row>
    <row r="2417" spans="4:11" x14ac:dyDescent="0.2">
      <c r="D2417" s="308"/>
      <c r="E2417" s="291"/>
      <c r="F2417" s="291"/>
      <c r="G2417" s="291"/>
      <c r="H2417" s="287"/>
      <c r="I2417" s="211"/>
      <c r="J2417" s="211"/>
      <c r="K2417" s="288"/>
    </row>
    <row r="2418" spans="4:11" x14ac:dyDescent="0.2">
      <c r="D2418" s="308"/>
      <c r="E2418" s="291"/>
      <c r="F2418" s="291"/>
      <c r="G2418" s="291"/>
      <c r="H2418" s="287"/>
      <c r="I2418" s="211"/>
      <c r="J2418" s="211"/>
      <c r="K2418" s="288"/>
    </row>
    <row r="2419" spans="4:11" x14ac:dyDescent="0.2">
      <c r="D2419" s="308"/>
      <c r="E2419" s="291"/>
      <c r="F2419" s="291"/>
      <c r="G2419" s="291"/>
      <c r="H2419" s="287"/>
      <c r="I2419" s="211"/>
      <c r="J2419" s="211"/>
      <c r="K2419" s="288"/>
    </row>
    <row r="2420" spans="4:11" x14ac:dyDescent="0.2">
      <c r="D2420" s="308"/>
      <c r="E2420" s="291"/>
      <c r="F2420" s="291"/>
      <c r="G2420" s="291"/>
      <c r="H2420" s="287"/>
      <c r="I2420" s="211"/>
      <c r="J2420" s="211"/>
      <c r="K2420" s="288"/>
    </row>
    <row r="2421" spans="4:11" x14ac:dyDescent="0.2">
      <c r="D2421" s="308"/>
      <c r="E2421" s="291"/>
      <c r="F2421" s="291"/>
      <c r="G2421" s="291"/>
      <c r="H2421" s="287"/>
      <c r="I2421" s="211"/>
      <c r="J2421" s="211"/>
      <c r="K2421" s="288"/>
    </row>
    <row r="2422" spans="4:11" x14ac:dyDescent="0.2">
      <c r="D2422" s="308"/>
      <c r="E2422" s="291"/>
      <c r="F2422" s="291"/>
      <c r="G2422" s="291"/>
      <c r="H2422" s="287"/>
      <c r="I2422" s="211"/>
      <c r="J2422" s="211"/>
      <c r="K2422" s="288"/>
    </row>
    <row r="2423" spans="4:11" x14ac:dyDescent="0.2">
      <c r="D2423" s="308"/>
      <c r="E2423" s="291"/>
      <c r="F2423" s="291"/>
      <c r="G2423" s="291"/>
      <c r="H2423" s="287"/>
      <c r="I2423" s="211"/>
      <c r="J2423" s="211"/>
      <c r="K2423" s="288"/>
    </row>
    <row r="2424" spans="4:11" x14ac:dyDescent="0.2">
      <c r="D2424" s="308"/>
      <c r="E2424" s="291"/>
      <c r="F2424" s="291"/>
      <c r="G2424" s="291"/>
      <c r="H2424" s="287"/>
      <c r="I2424" s="211"/>
      <c r="J2424" s="211"/>
      <c r="K2424" s="288"/>
    </row>
    <row r="2425" spans="4:11" x14ac:dyDescent="0.2">
      <c r="D2425" s="308"/>
      <c r="E2425" s="291"/>
      <c r="F2425" s="291"/>
      <c r="G2425" s="291"/>
      <c r="H2425" s="287"/>
      <c r="I2425" s="211"/>
      <c r="J2425" s="211"/>
      <c r="K2425" s="288"/>
    </row>
    <row r="2426" spans="4:11" x14ac:dyDescent="0.2">
      <c r="D2426" s="308"/>
      <c r="E2426" s="291"/>
      <c r="F2426" s="291"/>
      <c r="G2426" s="291"/>
      <c r="H2426" s="287"/>
      <c r="I2426" s="211"/>
      <c r="J2426" s="211"/>
      <c r="K2426" s="288"/>
    </row>
    <row r="2427" spans="4:11" x14ac:dyDescent="0.2">
      <c r="D2427" s="308"/>
      <c r="E2427" s="291"/>
      <c r="F2427" s="291"/>
      <c r="G2427" s="291"/>
      <c r="H2427" s="287"/>
      <c r="I2427" s="211"/>
      <c r="J2427" s="211"/>
      <c r="K2427" s="288"/>
    </row>
    <row r="2428" spans="4:11" x14ac:dyDescent="0.2">
      <c r="D2428" s="308"/>
      <c r="E2428" s="291"/>
      <c r="F2428" s="291"/>
      <c r="G2428" s="291"/>
      <c r="H2428" s="287"/>
      <c r="I2428" s="211"/>
      <c r="J2428" s="211"/>
      <c r="K2428" s="288"/>
    </row>
    <row r="2429" spans="4:11" x14ac:dyDescent="0.2">
      <c r="D2429" s="308"/>
      <c r="E2429" s="291"/>
      <c r="F2429" s="291"/>
      <c r="G2429" s="291"/>
      <c r="H2429" s="287"/>
      <c r="I2429" s="211"/>
      <c r="J2429" s="211"/>
      <c r="K2429" s="288"/>
    </row>
    <row r="2430" spans="4:11" x14ac:dyDescent="0.2">
      <c r="D2430" s="308"/>
      <c r="E2430" s="291"/>
      <c r="F2430" s="291"/>
      <c r="G2430" s="291"/>
      <c r="H2430" s="287"/>
      <c r="I2430" s="211"/>
      <c r="J2430" s="211"/>
      <c r="K2430" s="288"/>
    </row>
    <row r="2431" spans="4:11" x14ac:dyDescent="0.2">
      <c r="D2431" s="308"/>
      <c r="E2431" s="291"/>
      <c r="F2431" s="291"/>
      <c r="G2431" s="291"/>
      <c r="H2431" s="287"/>
      <c r="I2431" s="211"/>
      <c r="J2431" s="211"/>
      <c r="K2431" s="288"/>
    </row>
    <row r="2432" spans="4:11" x14ac:dyDescent="0.2">
      <c r="D2432" s="308"/>
      <c r="E2432" s="291"/>
      <c r="F2432" s="291"/>
      <c r="G2432" s="291"/>
      <c r="H2432" s="287"/>
      <c r="I2432" s="211"/>
      <c r="J2432" s="211"/>
      <c r="K2432" s="288"/>
    </row>
    <row r="2433" spans="4:11" x14ac:dyDescent="0.2">
      <c r="D2433" s="308"/>
      <c r="E2433" s="291"/>
      <c r="F2433" s="291"/>
      <c r="G2433" s="291"/>
      <c r="H2433" s="287"/>
      <c r="I2433" s="211"/>
      <c r="J2433" s="211"/>
      <c r="K2433" s="288"/>
    </row>
    <row r="2434" spans="4:11" x14ac:dyDescent="0.2">
      <c r="D2434" s="308"/>
      <c r="E2434" s="291"/>
      <c r="F2434" s="291"/>
      <c r="G2434" s="291"/>
      <c r="H2434" s="287"/>
      <c r="I2434" s="211"/>
      <c r="J2434" s="211"/>
      <c r="K2434" s="288"/>
    </row>
    <row r="2435" spans="4:11" x14ac:dyDescent="0.2">
      <c r="D2435" s="308"/>
      <c r="E2435" s="291"/>
      <c r="F2435" s="291"/>
      <c r="G2435" s="291"/>
      <c r="H2435" s="287"/>
      <c r="I2435" s="211"/>
      <c r="J2435" s="211"/>
      <c r="K2435" s="288"/>
    </row>
    <row r="2436" spans="4:11" x14ac:dyDescent="0.2">
      <c r="D2436" s="308"/>
      <c r="E2436" s="291"/>
      <c r="F2436" s="291"/>
      <c r="G2436" s="291"/>
      <c r="H2436" s="287"/>
      <c r="I2436" s="211"/>
      <c r="J2436" s="211"/>
      <c r="K2436" s="288"/>
    </row>
    <row r="2437" spans="4:11" x14ac:dyDescent="0.2">
      <c r="D2437" s="308"/>
      <c r="E2437" s="291"/>
      <c r="F2437" s="291"/>
      <c r="G2437" s="291"/>
      <c r="H2437" s="287"/>
      <c r="I2437" s="211"/>
      <c r="J2437" s="211"/>
      <c r="K2437" s="288"/>
    </row>
    <row r="2438" spans="4:11" x14ac:dyDescent="0.2">
      <c r="D2438" s="308"/>
      <c r="E2438" s="291"/>
      <c r="F2438" s="291"/>
      <c r="G2438" s="291"/>
      <c r="H2438" s="287"/>
      <c r="I2438" s="211"/>
      <c r="J2438" s="211"/>
      <c r="K2438" s="288"/>
    </row>
    <row r="2439" spans="4:11" x14ac:dyDescent="0.2">
      <c r="D2439" s="308"/>
      <c r="E2439" s="291"/>
      <c r="F2439" s="291"/>
      <c r="G2439" s="291"/>
      <c r="H2439" s="287"/>
      <c r="I2439" s="211"/>
      <c r="J2439" s="211"/>
      <c r="K2439" s="288"/>
    </row>
    <row r="2440" spans="4:11" x14ac:dyDescent="0.2">
      <c r="D2440" s="308"/>
      <c r="E2440" s="291"/>
      <c r="F2440" s="291"/>
      <c r="G2440" s="291"/>
      <c r="H2440" s="287"/>
      <c r="I2440" s="211"/>
      <c r="J2440" s="211"/>
      <c r="K2440" s="288"/>
    </row>
    <row r="2441" spans="4:11" x14ac:dyDescent="0.2">
      <c r="D2441" s="308"/>
      <c r="E2441" s="291"/>
      <c r="F2441" s="291"/>
      <c r="G2441" s="291"/>
      <c r="H2441" s="287"/>
      <c r="I2441" s="211"/>
      <c r="J2441" s="211"/>
      <c r="K2441" s="288"/>
    </row>
    <row r="2442" spans="4:11" x14ac:dyDescent="0.2">
      <c r="D2442" s="308"/>
      <c r="E2442" s="291"/>
      <c r="F2442" s="291"/>
      <c r="G2442" s="291"/>
      <c r="H2442" s="287"/>
      <c r="I2442" s="211"/>
      <c r="J2442" s="211"/>
      <c r="K2442" s="288"/>
    </row>
    <row r="2443" spans="4:11" x14ac:dyDescent="0.2">
      <c r="D2443" s="308"/>
      <c r="E2443" s="291"/>
      <c r="F2443" s="291"/>
      <c r="G2443" s="291"/>
      <c r="H2443" s="287"/>
      <c r="I2443" s="211"/>
      <c r="J2443" s="211"/>
      <c r="K2443" s="288"/>
    </row>
    <row r="2444" spans="4:11" x14ac:dyDescent="0.2">
      <c r="D2444" s="308"/>
      <c r="E2444" s="291"/>
      <c r="F2444" s="291"/>
      <c r="G2444" s="291"/>
      <c r="H2444" s="287"/>
      <c r="I2444" s="211"/>
      <c r="J2444" s="211"/>
      <c r="K2444" s="288"/>
    </row>
    <row r="2445" spans="4:11" x14ac:dyDescent="0.2">
      <c r="D2445" s="308"/>
      <c r="E2445" s="291"/>
      <c r="F2445" s="291"/>
      <c r="G2445" s="291"/>
      <c r="H2445" s="287"/>
      <c r="I2445" s="211"/>
      <c r="J2445" s="211"/>
      <c r="K2445" s="288"/>
    </row>
    <row r="2446" spans="4:11" x14ac:dyDescent="0.2">
      <c r="D2446" s="308"/>
      <c r="E2446" s="291"/>
      <c r="F2446" s="291"/>
      <c r="G2446" s="291"/>
      <c r="H2446" s="287"/>
      <c r="I2446" s="211"/>
      <c r="J2446" s="211"/>
      <c r="K2446" s="288"/>
    </row>
    <row r="2447" spans="4:11" x14ac:dyDescent="0.2">
      <c r="D2447" s="308"/>
      <c r="E2447" s="291"/>
      <c r="F2447" s="291"/>
      <c r="G2447" s="291"/>
      <c r="H2447" s="287"/>
      <c r="I2447" s="211"/>
      <c r="J2447" s="211"/>
      <c r="K2447" s="288"/>
    </row>
    <row r="2448" spans="4:11" x14ac:dyDescent="0.2">
      <c r="D2448" s="308"/>
      <c r="E2448" s="291"/>
      <c r="F2448" s="291"/>
      <c r="G2448" s="291"/>
      <c r="H2448" s="287"/>
      <c r="I2448" s="211"/>
      <c r="J2448" s="211"/>
      <c r="K2448" s="288"/>
    </row>
    <row r="2449" spans="4:11" x14ac:dyDescent="0.2">
      <c r="D2449" s="308"/>
      <c r="E2449" s="291"/>
      <c r="F2449" s="291"/>
      <c r="G2449" s="291"/>
      <c r="H2449" s="287"/>
      <c r="I2449" s="211"/>
      <c r="J2449" s="211"/>
      <c r="K2449" s="288"/>
    </row>
    <row r="2450" spans="4:11" x14ac:dyDescent="0.2">
      <c r="D2450" s="308"/>
      <c r="E2450" s="291"/>
      <c r="F2450" s="291"/>
      <c r="G2450" s="291"/>
      <c r="H2450" s="287"/>
      <c r="I2450" s="211"/>
      <c r="J2450" s="211"/>
      <c r="K2450" s="288"/>
    </row>
    <row r="2451" spans="4:11" x14ac:dyDescent="0.2">
      <c r="D2451" s="308"/>
      <c r="E2451" s="291"/>
      <c r="F2451" s="291"/>
      <c r="G2451" s="291"/>
      <c r="H2451" s="287"/>
      <c r="I2451" s="211"/>
      <c r="J2451" s="211"/>
      <c r="K2451" s="288"/>
    </row>
    <row r="2452" spans="4:11" x14ac:dyDescent="0.2">
      <c r="D2452" s="308"/>
      <c r="E2452" s="291"/>
      <c r="F2452" s="291"/>
      <c r="G2452" s="291"/>
      <c r="H2452" s="287"/>
      <c r="I2452" s="211"/>
      <c r="J2452" s="211"/>
      <c r="K2452" s="288"/>
    </row>
    <row r="2453" spans="4:11" x14ac:dyDescent="0.2">
      <c r="D2453" s="308"/>
      <c r="E2453" s="291"/>
      <c r="F2453" s="291"/>
      <c r="G2453" s="291"/>
      <c r="H2453" s="287"/>
      <c r="I2453" s="211"/>
      <c r="J2453" s="211"/>
      <c r="K2453" s="288"/>
    </row>
    <row r="2454" spans="4:11" x14ac:dyDescent="0.2">
      <c r="D2454" s="308"/>
      <c r="E2454" s="291"/>
      <c r="F2454" s="291"/>
      <c r="G2454" s="291"/>
      <c r="H2454" s="287"/>
      <c r="I2454" s="211"/>
      <c r="J2454" s="211"/>
      <c r="K2454" s="288"/>
    </row>
    <row r="2455" spans="4:11" x14ac:dyDescent="0.2">
      <c r="D2455" s="308"/>
      <c r="E2455" s="291"/>
      <c r="F2455" s="291"/>
      <c r="G2455" s="291"/>
      <c r="H2455" s="287"/>
      <c r="I2455" s="211"/>
      <c r="J2455" s="211"/>
      <c r="K2455" s="288"/>
    </row>
    <row r="2456" spans="4:11" x14ac:dyDescent="0.2">
      <c r="D2456" s="308"/>
      <c r="E2456" s="291"/>
      <c r="F2456" s="291"/>
      <c r="G2456" s="291"/>
      <c r="H2456" s="287"/>
      <c r="I2456" s="211"/>
      <c r="J2456" s="211"/>
      <c r="K2456" s="288"/>
    </row>
    <row r="2457" spans="4:11" x14ac:dyDescent="0.2">
      <c r="D2457" s="308"/>
      <c r="E2457" s="291"/>
      <c r="F2457" s="291"/>
      <c r="G2457" s="291"/>
      <c r="H2457" s="287"/>
      <c r="I2457" s="211"/>
      <c r="J2457" s="211"/>
      <c r="K2457" s="288"/>
    </row>
    <row r="2458" spans="4:11" x14ac:dyDescent="0.2">
      <c r="D2458" s="308"/>
      <c r="E2458" s="291"/>
      <c r="F2458" s="291"/>
      <c r="G2458" s="291"/>
      <c r="H2458" s="287"/>
      <c r="I2458" s="211"/>
      <c r="J2458" s="211"/>
      <c r="K2458" s="288"/>
    </row>
    <row r="2459" spans="4:11" x14ac:dyDescent="0.2">
      <c r="D2459" s="308"/>
      <c r="E2459" s="291"/>
      <c r="F2459" s="291"/>
      <c r="G2459" s="291"/>
      <c r="H2459" s="287"/>
      <c r="I2459" s="211"/>
      <c r="J2459" s="211"/>
      <c r="K2459" s="288"/>
    </row>
    <row r="2460" spans="4:11" x14ac:dyDescent="0.2">
      <c r="D2460" s="308"/>
      <c r="E2460" s="291"/>
      <c r="F2460" s="291"/>
      <c r="G2460" s="291"/>
      <c r="H2460" s="287"/>
      <c r="I2460" s="211"/>
      <c r="J2460" s="211"/>
      <c r="K2460" s="288"/>
    </row>
    <row r="2461" spans="4:11" x14ac:dyDescent="0.2">
      <c r="D2461" s="308"/>
      <c r="E2461" s="291"/>
      <c r="F2461" s="291"/>
      <c r="G2461" s="291"/>
      <c r="H2461" s="287"/>
      <c r="I2461" s="211"/>
      <c r="J2461" s="211"/>
      <c r="K2461" s="288"/>
    </row>
    <row r="2462" spans="4:11" x14ac:dyDescent="0.2">
      <c r="D2462" s="308"/>
      <c r="E2462" s="291"/>
      <c r="F2462" s="291"/>
      <c r="G2462" s="291"/>
      <c r="H2462" s="287"/>
      <c r="I2462" s="211"/>
      <c r="J2462" s="211"/>
      <c r="K2462" s="288"/>
    </row>
    <row r="2463" spans="4:11" x14ac:dyDescent="0.2">
      <c r="D2463" s="308"/>
      <c r="E2463" s="291"/>
      <c r="F2463" s="291"/>
      <c r="G2463" s="291"/>
      <c r="H2463" s="287"/>
      <c r="I2463" s="211"/>
      <c r="J2463" s="211"/>
      <c r="K2463" s="288"/>
    </row>
    <row r="2464" spans="4:11" x14ac:dyDescent="0.2">
      <c r="D2464" s="308"/>
      <c r="E2464" s="291"/>
      <c r="F2464" s="291"/>
      <c r="G2464" s="291"/>
      <c r="H2464" s="287"/>
      <c r="I2464" s="211"/>
      <c r="J2464" s="211"/>
      <c r="K2464" s="288"/>
    </row>
    <row r="2465" spans="4:11" x14ac:dyDescent="0.2">
      <c r="D2465" s="308"/>
      <c r="E2465" s="291"/>
      <c r="F2465" s="291"/>
      <c r="G2465" s="291"/>
      <c r="H2465" s="287"/>
      <c r="I2465" s="211"/>
      <c r="J2465" s="211"/>
      <c r="K2465" s="288"/>
    </row>
    <row r="2466" spans="4:11" x14ac:dyDescent="0.2">
      <c r="D2466" s="308"/>
      <c r="E2466" s="291"/>
      <c r="F2466" s="291"/>
      <c r="G2466" s="291"/>
      <c r="H2466" s="287"/>
      <c r="I2466" s="211"/>
      <c r="J2466" s="211"/>
      <c r="K2466" s="288"/>
    </row>
    <row r="2467" spans="4:11" x14ac:dyDescent="0.2">
      <c r="D2467" s="308"/>
      <c r="E2467" s="291"/>
      <c r="F2467" s="291"/>
      <c r="G2467" s="291"/>
      <c r="H2467" s="287"/>
      <c r="I2467" s="211"/>
      <c r="J2467" s="211"/>
      <c r="K2467" s="288"/>
    </row>
    <row r="2468" spans="4:11" x14ac:dyDescent="0.2">
      <c r="D2468" s="308"/>
      <c r="E2468" s="291"/>
      <c r="F2468" s="291"/>
      <c r="G2468" s="291"/>
      <c r="H2468" s="287"/>
      <c r="I2468" s="211"/>
      <c r="J2468" s="211"/>
      <c r="K2468" s="288"/>
    </row>
    <row r="2469" spans="4:11" x14ac:dyDescent="0.2">
      <c r="D2469" s="308"/>
      <c r="E2469" s="291"/>
      <c r="F2469" s="291"/>
      <c r="G2469" s="291"/>
      <c r="H2469" s="287"/>
      <c r="I2469" s="211"/>
      <c r="J2469" s="211"/>
      <c r="K2469" s="288"/>
    </row>
    <row r="2470" spans="4:11" x14ac:dyDescent="0.2">
      <c r="D2470" s="308"/>
      <c r="E2470" s="291"/>
      <c r="F2470" s="291"/>
      <c r="G2470" s="291"/>
      <c r="H2470" s="287"/>
      <c r="I2470" s="211"/>
      <c r="J2470" s="211"/>
      <c r="K2470" s="288"/>
    </row>
    <row r="2471" spans="4:11" x14ac:dyDescent="0.2">
      <c r="D2471" s="308"/>
      <c r="E2471" s="291"/>
      <c r="F2471" s="291"/>
      <c r="G2471" s="291"/>
      <c r="H2471" s="287"/>
      <c r="I2471" s="211"/>
      <c r="J2471" s="211"/>
      <c r="K2471" s="288"/>
    </row>
    <row r="2472" spans="4:11" x14ac:dyDescent="0.2">
      <c r="D2472" s="308"/>
      <c r="E2472" s="291"/>
      <c r="F2472" s="291"/>
      <c r="G2472" s="291"/>
      <c r="H2472" s="287"/>
      <c r="I2472" s="211"/>
      <c r="J2472" s="211"/>
      <c r="K2472" s="288"/>
    </row>
    <row r="2473" spans="4:11" x14ac:dyDescent="0.2">
      <c r="D2473" s="308"/>
      <c r="E2473" s="291"/>
      <c r="F2473" s="291"/>
      <c r="G2473" s="291"/>
      <c r="H2473" s="287"/>
      <c r="I2473" s="211"/>
      <c r="J2473" s="211"/>
      <c r="K2473" s="288"/>
    </row>
    <row r="2474" spans="4:11" x14ac:dyDescent="0.2">
      <c r="D2474" s="308"/>
      <c r="E2474" s="291"/>
      <c r="F2474" s="291"/>
      <c r="G2474" s="291"/>
      <c r="H2474" s="287"/>
      <c r="I2474" s="211"/>
      <c r="J2474" s="211"/>
      <c r="K2474" s="288"/>
    </row>
    <row r="2475" spans="4:11" x14ac:dyDescent="0.2">
      <c r="D2475" s="308"/>
      <c r="E2475" s="291"/>
      <c r="F2475" s="291"/>
      <c r="G2475" s="291"/>
      <c r="H2475" s="287"/>
      <c r="I2475" s="211"/>
      <c r="J2475" s="211"/>
      <c r="K2475" s="288"/>
    </row>
    <row r="2476" spans="4:11" x14ac:dyDescent="0.2">
      <c r="D2476" s="308"/>
      <c r="E2476" s="291"/>
      <c r="F2476" s="291"/>
      <c r="G2476" s="291"/>
      <c r="H2476" s="287"/>
      <c r="I2476" s="211"/>
      <c r="J2476" s="211"/>
      <c r="K2476" s="288"/>
    </row>
    <row r="2477" spans="4:11" x14ac:dyDescent="0.2">
      <c r="D2477" s="308"/>
      <c r="E2477" s="291"/>
      <c r="F2477" s="291"/>
      <c r="G2477" s="291"/>
      <c r="H2477" s="287"/>
      <c r="I2477" s="211"/>
      <c r="J2477" s="211"/>
      <c r="K2477" s="288"/>
    </row>
    <row r="2478" spans="4:11" x14ac:dyDescent="0.2">
      <c r="D2478" s="308"/>
      <c r="E2478" s="291"/>
      <c r="F2478" s="291"/>
      <c r="G2478" s="291"/>
      <c r="H2478" s="287"/>
      <c r="I2478" s="211"/>
      <c r="J2478" s="211"/>
      <c r="K2478" s="288"/>
    </row>
    <row r="2479" spans="4:11" x14ac:dyDescent="0.2">
      <c r="D2479" s="308"/>
      <c r="E2479" s="291"/>
      <c r="F2479" s="291"/>
      <c r="G2479" s="291"/>
      <c r="H2479" s="287"/>
      <c r="I2479" s="211"/>
      <c r="J2479" s="211"/>
      <c r="K2479" s="288"/>
    </row>
    <row r="2480" spans="4:11" x14ac:dyDescent="0.2">
      <c r="D2480" s="308"/>
      <c r="E2480" s="291"/>
      <c r="F2480" s="291"/>
      <c r="G2480" s="291"/>
      <c r="H2480" s="287"/>
      <c r="I2480" s="211"/>
      <c r="J2480" s="211"/>
      <c r="K2480" s="288"/>
    </row>
    <row r="2481" spans="4:11" x14ac:dyDescent="0.2">
      <c r="D2481" s="308"/>
      <c r="E2481" s="291"/>
      <c r="F2481" s="291"/>
      <c r="G2481" s="291"/>
      <c r="H2481" s="287"/>
      <c r="I2481" s="211"/>
      <c r="J2481" s="211"/>
      <c r="K2481" s="288"/>
    </row>
    <row r="2482" spans="4:11" x14ac:dyDescent="0.2">
      <c r="D2482" s="308"/>
      <c r="E2482" s="291"/>
      <c r="F2482" s="291"/>
      <c r="G2482" s="291"/>
      <c r="H2482" s="287"/>
      <c r="I2482" s="211"/>
      <c r="J2482" s="211"/>
      <c r="K2482" s="288"/>
    </row>
    <row r="2483" spans="4:11" x14ac:dyDescent="0.2">
      <c r="D2483" s="308"/>
      <c r="E2483" s="291"/>
      <c r="F2483" s="291"/>
      <c r="G2483" s="291"/>
      <c r="H2483" s="287"/>
      <c r="I2483" s="211"/>
      <c r="J2483" s="211"/>
      <c r="K2483" s="288"/>
    </row>
    <row r="2484" spans="4:11" x14ac:dyDescent="0.2">
      <c r="D2484" s="308"/>
      <c r="E2484" s="291"/>
      <c r="F2484" s="291"/>
      <c r="G2484" s="291"/>
      <c r="H2484" s="287"/>
      <c r="I2484" s="211"/>
      <c r="J2484" s="211"/>
      <c r="K2484" s="288"/>
    </row>
    <row r="2485" spans="4:11" x14ac:dyDescent="0.2">
      <c r="D2485" s="308"/>
      <c r="E2485" s="291"/>
      <c r="F2485" s="291"/>
      <c r="G2485" s="291"/>
      <c r="H2485" s="287"/>
      <c r="I2485" s="211"/>
      <c r="J2485" s="211"/>
      <c r="K2485" s="288"/>
    </row>
    <row r="2486" spans="4:11" x14ac:dyDescent="0.2">
      <c r="D2486" s="308"/>
      <c r="E2486" s="291"/>
      <c r="F2486" s="291"/>
      <c r="G2486" s="291"/>
      <c r="H2486" s="287"/>
      <c r="I2486" s="211"/>
      <c r="J2486" s="211"/>
      <c r="K2486" s="288"/>
    </row>
    <row r="2487" spans="4:11" x14ac:dyDescent="0.2">
      <c r="D2487" s="308"/>
      <c r="E2487" s="291"/>
      <c r="F2487" s="291"/>
      <c r="G2487" s="291"/>
      <c r="H2487" s="287"/>
      <c r="I2487" s="211"/>
      <c r="J2487" s="211"/>
      <c r="K2487" s="288"/>
    </row>
    <row r="2488" spans="4:11" x14ac:dyDescent="0.2">
      <c r="D2488" s="308"/>
      <c r="E2488" s="291"/>
      <c r="F2488" s="291"/>
      <c r="G2488" s="291"/>
      <c r="H2488" s="287"/>
      <c r="I2488" s="211"/>
      <c r="J2488" s="211"/>
      <c r="K2488" s="288"/>
    </row>
    <row r="2489" spans="4:11" x14ac:dyDescent="0.2">
      <c r="D2489" s="308"/>
      <c r="E2489" s="291"/>
      <c r="F2489" s="291"/>
      <c r="G2489" s="291"/>
      <c r="H2489" s="287"/>
      <c r="I2489" s="211"/>
      <c r="J2489" s="211"/>
      <c r="K2489" s="288"/>
    </row>
    <row r="2490" spans="4:11" x14ac:dyDescent="0.2">
      <c r="D2490" s="308"/>
      <c r="E2490" s="291"/>
      <c r="F2490" s="291"/>
      <c r="G2490" s="291"/>
      <c r="H2490" s="287"/>
      <c r="I2490" s="211"/>
      <c r="J2490" s="211"/>
      <c r="K2490" s="288"/>
    </row>
    <row r="2491" spans="4:11" x14ac:dyDescent="0.2">
      <c r="D2491" s="308"/>
      <c r="E2491" s="291"/>
      <c r="F2491" s="291"/>
      <c r="G2491" s="291"/>
      <c r="H2491" s="287"/>
      <c r="I2491" s="211"/>
      <c r="J2491" s="211"/>
      <c r="K2491" s="288"/>
    </row>
    <row r="2492" spans="4:11" x14ac:dyDescent="0.2">
      <c r="D2492" s="308"/>
      <c r="E2492" s="291"/>
      <c r="F2492" s="291"/>
      <c r="G2492" s="291"/>
      <c r="H2492" s="287"/>
      <c r="I2492" s="211"/>
      <c r="J2492" s="211"/>
      <c r="K2492" s="288"/>
    </row>
    <row r="2493" spans="4:11" x14ac:dyDescent="0.2">
      <c r="D2493" s="308"/>
      <c r="E2493" s="291"/>
      <c r="F2493" s="291"/>
      <c r="G2493" s="291"/>
      <c r="H2493" s="287"/>
      <c r="I2493" s="211"/>
      <c r="J2493" s="211"/>
      <c r="K2493" s="288"/>
    </row>
    <row r="2494" spans="4:11" x14ac:dyDescent="0.2">
      <c r="D2494" s="308"/>
      <c r="E2494" s="291"/>
      <c r="F2494" s="291"/>
      <c r="G2494" s="291"/>
      <c r="H2494" s="287"/>
      <c r="I2494" s="211"/>
      <c r="J2494" s="211"/>
      <c r="K2494" s="288"/>
    </row>
    <row r="2495" spans="4:11" x14ac:dyDescent="0.2">
      <c r="D2495" s="308"/>
      <c r="E2495" s="291"/>
      <c r="F2495" s="291"/>
      <c r="G2495" s="291"/>
      <c r="H2495" s="287"/>
      <c r="I2495" s="211"/>
      <c r="J2495" s="211"/>
      <c r="K2495" s="288"/>
    </row>
    <row r="2496" spans="4:11" x14ac:dyDescent="0.2">
      <c r="D2496" s="308"/>
      <c r="E2496" s="291"/>
      <c r="F2496" s="291"/>
      <c r="G2496" s="291"/>
      <c r="H2496" s="287"/>
      <c r="I2496" s="211"/>
      <c r="J2496" s="211"/>
      <c r="K2496" s="288"/>
    </row>
    <row r="2497" spans="4:11" x14ac:dyDescent="0.2">
      <c r="D2497" s="308"/>
      <c r="E2497" s="291"/>
      <c r="F2497" s="291"/>
      <c r="G2497" s="291"/>
      <c r="H2497" s="287"/>
      <c r="I2497" s="211"/>
      <c r="J2497" s="211"/>
      <c r="K2497" s="288"/>
    </row>
    <row r="2498" spans="4:11" x14ac:dyDescent="0.2">
      <c r="D2498" s="308"/>
      <c r="E2498" s="291"/>
      <c r="F2498" s="291"/>
      <c r="G2498" s="291"/>
      <c r="H2498" s="287"/>
      <c r="I2498" s="211"/>
      <c r="J2498" s="211"/>
      <c r="K2498" s="288"/>
    </row>
    <row r="2499" spans="4:11" x14ac:dyDescent="0.2">
      <c r="D2499" s="308"/>
      <c r="E2499" s="291"/>
      <c r="F2499" s="291"/>
      <c r="G2499" s="291"/>
      <c r="H2499" s="287"/>
      <c r="I2499" s="211"/>
      <c r="J2499" s="211"/>
      <c r="K2499" s="288"/>
    </row>
    <row r="2500" spans="4:11" x14ac:dyDescent="0.2">
      <c r="D2500" s="308"/>
      <c r="E2500" s="291"/>
      <c r="F2500" s="291"/>
      <c r="G2500" s="291"/>
      <c r="H2500" s="287"/>
      <c r="I2500" s="211"/>
      <c r="J2500" s="211"/>
      <c r="K2500" s="288"/>
    </row>
    <row r="2501" spans="4:11" x14ac:dyDescent="0.2">
      <c r="D2501" s="308"/>
      <c r="E2501" s="291"/>
      <c r="F2501" s="291"/>
      <c r="G2501" s="291"/>
      <c r="H2501" s="287"/>
      <c r="I2501" s="211"/>
      <c r="J2501" s="211"/>
      <c r="K2501" s="288"/>
    </row>
    <row r="2502" spans="4:11" x14ac:dyDescent="0.2">
      <c r="D2502" s="308"/>
      <c r="E2502" s="291"/>
      <c r="F2502" s="291"/>
      <c r="G2502" s="291"/>
      <c r="H2502" s="287"/>
      <c r="I2502" s="211"/>
      <c r="J2502" s="211"/>
      <c r="K2502" s="288"/>
    </row>
    <row r="2503" spans="4:11" x14ac:dyDescent="0.2">
      <c r="D2503" s="308"/>
      <c r="E2503" s="291"/>
      <c r="F2503" s="291"/>
      <c r="G2503" s="291"/>
      <c r="H2503" s="287"/>
      <c r="I2503" s="211"/>
      <c r="J2503" s="211"/>
      <c r="K2503" s="288"/>
    </row>
    <row r="2504" spans="4:11" x14ac:dyDescent="0.2">
      <c r="D2504" s="308"/>
      <c r="E2504" s="291"/>
      <c r="F2504" s="291"/>
      <c r="G2504" s="291"/>
      <c r="H2504" s="287"/>
      <c r="I2504" s="211"/>
      <c r="J2504" s="211"/>
      <c r="K2504" s="288"/>
    </row>
    <row r="2505" spans="4:11" x14ac:dyDescent="0.2">
      <c r="D2505" s="308"/>
      <c r="E2505" s="291"/>
      <c r="F2505" s="291"/>
      <c r="G2505" s="291"/>
      <c r="H2505" s="287"/>
      <c r="I2505" s="211"/>
      <c r="J2505" s="211"/>
      <c r="K2505" s="288"/>
    </row>
    <row r="2506" spans="4:11" x14ac:dyDescent="0.2">
      <c r="D2506" s="308"/>
      <c r="E2506" s="291"/>
      <c r="F2506" s="291"/>
      <c r="G2506" s="291"/>
      <c r="H2506" s="287"/>
      <c r="I2506" s="211"/>
      <c r="J2506" s="211"/>
      <c r="K2506" s="288"/>
    </row>
    <row r="2507" spans="4:11" x14ac:dyDescent="0.2">
      <c r="D2507" s="308"/>
      <c r="E2507" s="291"/>
      <c r="F2507" s="291"/>
      <c r="G2507" s="291"/>
      <c r="H2507" s="287"/>
      <c r="I2507" s="211"/>
      <c r="J2507" s="211"/>
      <c r="K2507" s="288"/>
    </row>
    <row r="2508" spans="4:11" x14ac:dyDescent="0.2">
      <c r="D2508" s="308"/>
      <c r="E2508" s="291"/>
      <c r="F2508" s="291"/>
      <c r="G2508" s="291"/>
      <c r="H2508" s="287"/>
      <c r="I2508" s="211"/>
      <c r="J2508" s="211"/>
      <c r="K2508" s="288"/>
    </row>
    <row r="2509" spans="4:11" x14ac:dyDescent="0.2">
      <c r="D2509" s="308"/>
      <c r="E2509" s="291"/>
      <c r="F2509" s="291"/>
      <c r="G2509" s="291"/>
      <c r="H2509" s="287"/>
      <c r="I2509" s="211"/>
      <c r="J2509" s="211"/>
      <c r="K2509" s="288"/>
    </row>
    <row r="2510" spans="4:11" x14ac:dyDescent="0.2">
      <c r="D2510" s="308"/>
      <c r="E2510" s="291"/>
      <c r="F2510" s="291"/>
      <c r="G2510" s="291"/>
      <c r="H2510" s="287"/>
      <c r="I2510" s="211"/>
      <c r="J2510" s="211"/>
      <c r="K2510" s="288"/>
    </row>
    <row r="2511" spans="4:11" x14ac:dyDescent="0.2">
      <c r="D2511" s="308"/>
      <c r="E2511" s="291"/>
      <c r="F2511" s="291"/>
      <c r="G2511" s="291"/>
      <c r="H2511" s="287"/>
      <c r="I2511" s="211"/>
      <c r="J2511" s="211"/>
      <c r="K2511" s="288"/>
    </row>
    <row r="2512" spans="4:11" x14ac:dyDescent="0.2">
      <c r="D2512" s="308"/>
      <c r="E2512" s="291"/>
      <c r="F2512" s="291"/>
      <c r="G2512" s="291"/>
      <c r="H2512" s="287"/>
      <c r="I2512" s="211"/>
      <c r="J2512" s="211"/>
      <c r="K2512" s="288"/>
    </row>
    <row r="2513" spans="4:11" x14ac:dyDescent="0.2">
      <c r="D2513" s="308"/>
      <c r="E2513" s="291"/>
      <c r="F2513" s="291"/>
      <c r="G2513" s="291"/>
      <c r="H2513" s="287"/>
      <c r="I2513" s="211"/>
      <c r="J2513" s="211"/>
      <c r="K2513" s="288"/>
    </row>
    <row r="2514" spans="4:11" x14ac:dyDescent="0.2">
      <c r="D2514" s="308"/>
      <c r="E2514" s="291"/>
      <c r="F2514" s="291"/>
      <c r="G2514" s="291"/>
      <c r="H2514" s="287"/>
      <c r="I2514" s="211"/>
      <c r="J2514" s="211"/>
      <c r="K2514" s="288"/>
    </row>
    <row r="2515" spans="4:11" x14ac:dyDescent="0.2">
      <c r="D2515" s="308"/>
      <c r="E2515" s="291"/>
      <c r="F2515" s="291"/>
      <c r="G2515" s="291"/>
      <c r="H2515" s="287"/>
      <c r="I2515" s="211"/>
      <c r="J2515" s="211"/>
      <c r="K2515" s="288"/>
    </row>
    <row r="2516" spans="4:11" x14ac:dyDescent="0.2">
      <c r="D2516" s="308"/>
      <c r="E2516" s="291"/>
      <c r="F2516" s="291"/>
      <c r="G2516" s="291"/>
      <c r="H2516" s="287"/>
      <c r="I2516" s="211"/>
      <c r="J2516" s="211"/>
      <c r="K2516" s="288"/>
    </row>
    <row r="2517" spans="4:11" x14ac:dyDescent="0.2">
      <c r="D2517" s="308"/>
      <c r="E2517" s="291"/>
      <c r="F2517" s="291"/>
      <c r="G2517" s="291"/>
      <c r="H2517" s="287"/>
      <c r="I2517" s="211"/>
      <c r="J2517" s="211"/>
      <c r="K2517" s="288"/>
    </row>
    <row r="2518" spans="4:11" x14ac:dyDescent="0.2">
      <c r="D2518" s="308"/>
      <c r="E2518" s="291"/>
      <c r="F2518" s="291"/>
      <c r="G2518" s="291"/>
      <c r="H2518" s="287"/>
      <c r="I2518" s="211"/>
      <c r="J2518" s="211"/>
      <c r="K2518" s="288"/>
    </row>
    <row r="2519" spans="4:11" x14ac:dyDescent="0.2">
      <c r="D2519" s="308"/>
      <c r="E2519" s="291"/>
      <c r="F2519" s="291"/>
      <c r="G2519" s="291"/>
      <c r="H2519" s="287"/>
      <c r="I2519" s="211"/>
      <c r="J2519" s="211"/>
      <c r="K2519" s="288"/>
    </row>
    <row r="2520" spans="4:11" x14ac:dyDescent="0.2">
      <c r="D2520" s="308"/>
      <c r="E2520" s="291"/>
      <c r="F2520" s="291"/>
      <c r="G2520" s="291"/>
      <c r="H2520" s="287"/>
      <c r="I2520" s="211"/>
      <c r="J2520" s="211"/>
      <c r="K2520" s="288"/>
    </row>
    <row r="2521" spans="4:11" x14ac:dyDescent="0.2">
      <c r="D2521" s="308"/>
      <c r="E2521" s="291"/>
      <c r="F2521" s="291"/>
      <c r="G2521" s="291"/>
      <c r="H2521" s="287"/>
      <c r="I2521" s="211"/>
      <c r="J2521" s="211"/>
      <c r="K2521" s="288"/>
    </row>
    <row r="2522" spans="4:11" x14ac:dyDescent="0.2">
      <c r="D2522" s="308"/>
      <c r="E2522" s="291"/>
      <c r="F2522" s="291"/>
      <c r="G2522" s="291"/>
      <c r="H2522" s="287"/>
      <c r="I2522" s="211"/>
      <c r="J2522" s="211"/>
      <c r="K2522" s="288"/>
    </row>
    <row r="2523" spans="4:11" x14ac:dyDescent="0.2">
      <c r="D2523" s="308"/>
      <c r="E2523" s="291"/>
      <c r="F2523" s="291"/>
      <c r="G2523" s="291"/>
      <c r="H2523" s="287"/>
      <c r="I2523" s="211"/>
      <c r="J2523" s="211"/>
      <c r="K2523" s="288"/>
    </row>
    <row r="2524" spans="4:11" x14ac:dyDescent="0.2">
      <c r="D2524" s="308"/>
      <c r="E2524" s="291"/>
      <c r="F2524" s="291"/>
      <c r="G2524" s="291"/>
      <c r="H2524" s="287"/>
      <c r="I2524" s="211"/>
      <c r="J2524" s="211"/>
      <c r="K2524" s="288"/>
    </row>
    <row r="2525" spans="4:11" x14ac:dyDescent="0.2">
      <c r="D2525" s="308"/>
      <c r="E2525" s="291"/>
      <c r="F2525" s="291"/>
      <c r="G2525" s="291"/>
      <c r="H2525" s="287"/>
      <c r="I2525" s="211"/>
      <c r="J2525" s="211"/>
      <c r="K2525" s="288"/>
    </row>
    <row r="2526" spans="4:11" x14ac:dyDescent="0.2">
      <c r="D2526" s="308"/>
      <c r="E2526" s="291"/>
      <c r="F2526" s="291"/>
      <c r="G2526" s="291"/>
      <c r="H2526" s="287"/>
      <c r="I2526" s="211"/>
      <c r="J2526" s="211"/>
      <c r="K2526" s="288"/>
    </row>
    <row r="2527" spans="4:11" x14ac:dyDescent="0.2">
      <c r="D2527" s="308"/>
      <c r="E2527" s="291"/>
      <c r="F2527" s="291"/>
      <c r="G2527" s="291"/>
      <c r="H2527" s="287"/>
      <c r="I2527" s="211"/>
      <c r="J2527" s="211"/>
      <c r="K2527" s="288"/>
    </row>
    <row r="2528" spans="4:11" x14ac:dyDescent="0.2">
      <c r="D2528" s="308"/>
      <c r="E2528" s="291"/>
      <c r="F2528" s="291"/>
      <c r="G2528" s="291"/>
      <c r="H2528" s="287"/>
      <c r="I2528" s="211"/>
      <c r="J2528" s="211"/>
      <c r="K2528" s="288"/>
    </row>
    <row r="2529" spans="4:11" x14ac:dyDescent="0.2">
      <c r="D2529" s="308"/>
      <c r="E2529" s="291"/>
      <c r="F2529" s="291"/>
      <c r="G2529" s="291"/>
      <c r="H2529" s="287"/>
      <c r="I2529" s="211"/>
      <c r="J2529" s="211"/>
      <c r="K2529" s="288"/>
    </row>
    <row r="2530" spans="4:11" x14ac:dyDescent="0.2">
      <c r="D2530" s="308"/>
      <c r="E2530" s="291"/>
      <c r="F2530" s="291"/>
      <c r="G2530" s="291"/>
      <c r="H2530" s="287"/>
      <c r="I2530" s="211"/>
      <c r="J2530" s="211"/>
      <c r="K2530" s="288"/>
    </row>
    <row r="2531" spans="4:11" x14ac:dyDescent="0.2">
      <c r="D2531" s="308"/>
      <c r="E2531" s="291"/>
      <c r="F2531" s="291"/>
      <c r="G2531" s="291"/>
      <c r="H2531" s="287"/>
      <c r="I2531" s="211"/>
      <c r="J2531" s="211"/>
      <c r="K2531" s="288"/>
    </row>
    <row r="2532" spans="4:11" x14ac:dyDescent="0.2">
      <c r="D2532" s="308"/>
      <c r="E2532" s="291"/>
      <c r="F2532" s="291"/>
      <c r="G2532" s="291"/>
      <c r="H2532" s="287"/>
      <c r="I2532" s="211"/>
      <c r="J2532" s="211"/>
      <c r="K2532" s="288"/>
    </row>
    <row r="2533" spans="4:11" x14ac:dyDescent="0.2">
      <c r="D2533" s="308"/>
      <c r="E2533" s="291"/>
      <c r="F2533" s="291"/>
      <c r="G2533" s="291"/>
      <c r="H2533" s="287"/>
      <c r="I2533" s="211"/>
      <c r="J2533" s="211"/>
      <c r="K2533" s="288"/>
    </row>
    <row r="2534" spans="4:11" x14ac:dyDescent="0.2">
      <c r="D2534" s="308"/>
      <c r="E2534" s="291"/>
      <c r="F2534" s="291"/>
      <c r="G2534" s="291"/>
      <c r="H2534" s="287"/>
      <c r="I2534" s="211"/>
      <c r="J2534" s="211"/>
      <c r="K2534" s="288"/>
    </row>
    <row r="2535" spans="4:11" x14ac:dyDescent="0.2">
      <c r="D2535" s="308"/>
      <c r="E2535" s="291"/>
      <c r="F2535" s="291"/>
      <c r="G2535" s="291"/>
      <c r="H2535" s="287"/>
      <c r="I2535" s="211"/>
      <c r="J2535" s="211"/>
      <c r="K2535" s="288"/>
    </row>
    <row r="2536" spans="4:11" x14ac:dyDescent="0.2">
      <c r="D2536" s="308"/>
      <c r="E2536" s="291"/>
      <c r="F2536" s="291"/>
      <c r="G2536" s="291"/>
      <c r="H2536" s="287"/>
      <c r="I2536" s="211"/>
      <c r="J2536" s="211"/>
      <c r="K2536" s="288"/>
    </row>
    <row r="2537" spans="4:11" x14ac:dyDescent="0.2">
      <c r="D2537" s="308"/>
      <c r="E2537" s="291"/>
      <c r="F2537" s="291"/>
      <c r="G2537" s="291"/>
      <c r="H2537" s="287"/>
      <c r="I2537" s="211"/>
      <c r="J2537" s="211"/>
      <c r="K2537" s="288"/>
    </row>
    <row r="2538" spans="4:11" x14ac:dyDescent="0.2">
      <c r="D2538" s="308"/>
      <c r="E2538" s="291"/>
      <c r="F2538" s="291"/>
      <c r="G2538" s="291"/>
      <c r="H2538" s="287"/>
      <c r="I2538" s="211"/>
      <c r="J2538" s="211"/>
      <c r="K2538" s="288"/>
    </row>
    <row r="2539" spans="4:11" x14ac:dyDescent="0.2">
      <c r="D2539" s="308"/>
      <c r="E2539" s="291"/>
      <c r="F2539" s="291"/>
      <c r="G2539" s="291"/>
      <c r="H2539" s="287"/>
      <c r="I2539" s="211"/>
      <c r="J2539" s="211"/>
      <c r="K2539" s="288"/>
    </row>
    <row r="2540" spans="4:11" x14ac:dyDescent="0.2">
      <c r="D2540" s="308"/>
      <c r="E2540" s="291"/>
      <c r="F2540" s="291"/>
      <c r="G2540" s="291"/>
      <c r="H2540" s="287"/>
      <c r="I2540" s="211"/>
      <c r="J2540" s="211"/>
      <c r="K2540" s="288"/>
    </row>
    <row r="2541" spans="4:11" x14ac:dyDescent="0.2">
      <c r="D2541" s="308"/>
      <c r="E2541" s="291"/>
      <c r="F2541" s="291"/>
      <c r="G2541" s="291"/>
      <c r="H2541" s="287"/>
      <c r="I2541" s="211"/>
      <c r="J2541" s="211"/>
      <c r="K2541" s="288"/>
    </row>
    <row r="2542" spans="4:11" x14ac:dyDescent="0.2">
      <c r="D2542" s="308"/>
      <c r="E2542" s="291"/>
      <c r="F2542" s="291"/>
      <c r="G2542" s="291"/>
      <c r="H2542" s="287"/>
      <c r="I2542" s="211"/>
      <c r="J2542" s="211"/>
      <c r="K2542" s="288"/>
    </row>
    <row r="2543" spans="4:11" x14ac:dyDescent="0.2">
      <c r="D2543" s="308"/>
      <c r="E2543" s="291"/>
      <c r="F2543" s="291"/>
      <c r="G2543" s="291"/>
      <c r="H2543" s="287"/>
      <c r="I2543" s="211"/>
      <c r="J2543" s="211"/>
      <c r="K2543" s="288"/>
    </row>
    <row r="2544" spans="4:11" x14ac:dyDescent="0.2">
      <c r="D2544" s="308"/>
      <c r="E2544" s="291"/>
      <c r="F2544" s="291"/>
      <c r="G2544" s="291"/>
      <c r="H2544" s="287"/>
      <c r="I2544" s="211"/>
      <c r="J2544" s="211"/>
      <c r="K2544" s="288"/>
    </row>
    <row r="2545" spans="4:11" x14ac:dyDescent="0.2">
      <c r="D2545" s="308"/>
      <c r="E2545" s="291"/>
      <c r="F2545" s="291"/>
      <c r="G2545" s="291"/>
      <c r="H2545" s="287"/>
      <c r="I2545" s="211"/>
      <c r="J2545" s="211"/>
      <c r="K2545" s="288"/>
    </row>
    <row r="2546" spans="4:11" x14ac:dyDescent="0.2">
      <c r="D2546" s="308"/>
      <c r="E2546" s="291"/>
      <c r="F2546" s="291"/>
      <c r="G2546" s="291"/>
      <c r="H2546" s="287"/>
      <c r="I2546" s="211"/>
      <c r="J2546" s="211"/>
      <c r="K2546" s="288"/>
    </row>
    <row r="2547" spans="4:11" x14ac:dyDescent="0.2">
      <c r="D2547" s="308"/>
      <c r="E2547" s="291"/>
      <c r="F2547" s="291"/>
      <c r="G2547" s="291"/>
      <c r="H2547" s="287"/>
      <c r="I2547" s="211"/>
      <c r="J2547" s="211"/>
      <c r="K2547" s="288"/>
    </row>
    <row r="2548" spans="4:11" x14ac:dyDescent="0.2">
      <c r="D2548" s="308"/>
      <c r="E2548" s="291"/>
      <c r="F2548" s="291"/>
      <c r="G2548" s="291"/>
      <c r="H2548" s="287"/>
      <c r="I2548" s="211"/>
      <c r="J2548" s="211"/>
      <c r="K2548" s="288"/>
    </row>
    <row r="2549" spans="4:11" x14ac:dyDescent="0.2">
      <c r="D2549" s="308"/>
      <c r="E2549" s="291"/>
      <c r="F2549" s="291"/>
      <c r="G2549" s="291"/>
      <c r="H2549" s="287"/>
      <c r="I2549" s="211"/>
      <c r="J2549" s="211"/>
      <c r="K2549" s="288"/>
    </row>
    <row r="2550" spans="4:11" x14ac:dyDescent="0.2">
      <c r="D2550" s="308"/>
      <c r="E2550" s="291"/>
      <c r="F2550" s="291"/>
      <c r="G2550" s="291"/>
      <c r="H2550" s="287"/>
      <c r="I2550" s="211"/>
      <c r="J2550" s="211"/>
      <c r="K2550" s="288"/>
    </row>
    <row r="2551" spans="4:11" x14ac:dyDescent="0.2">
      <c r="D2551" s="308"/>
      <c r="E2551" s="291"/>
      <c r="F2551" s="291"/>
      <c r="G2551" s="291"/>
      <c r="H2551" s="287"/>
      <c r="I2551" s="211"/>
      <c r="J2551" s="211"/>
      <c r="K2551" s="288"/>
    </row>
    <row r="2552" spans="4:11" x14ac:dyDescent="0.2">
      <c r="D2552" s="308"/>
      <c r="E2552" s="291"/>
      <c r="F2552" s="291"/>
      <c r="G2552" s="291"/>
      <c r="H2552" s="287"/>
      <c r="I2552" s="211"/>
      <c r="J2552" s="211"/>
      <c r="K2552" s="288"/>
    </row>
    <row r="2553" spans="4:11" x14ac:dyDescent="0.2">
      <c r="D2553" s="308"/>
      <c r="E2553" s="291"/>
      <c r="F2553" s="291"/>
      <c r="G2553" s="291"/>
      <c r="H2553" s="287"/>
      <c r="I2553" s="211"/>
      <c r="J2553" s="211"/>
      <c r="K2553" s="288"/>
    </row>
    <row r="2554" spans="4:11" x14ac:dyDescent="0.2">
      <c r="D2554" s="308"/>
      <c r="E2554" s="291"/>
      <c r="F2554" s="291"/>
      <c r="G2554" s="291"/>
      <c r="H2554" s="287"/>
      <c r="I2554" s="211"/>
      <c r="J2554" s="211"/>
      <c r="K2554" s="288"/>
    </row>
    <row r="2555" spans="4:11" x14ac:dyDescent="0.2">
      <c r="D2555" s="308"/>
      <c r="E2555" s="291"/>
      <c r="F2555" s="291"/>
      <c r="G2555" s="291"/>
      <c r="H2555" s="287"/>
      <c r="I2555" s="211"/>
      <c r="J2555" s="211"/>
      <c r="K2555" s="288"/>
    </row>
    <row r="2556" spans="4:11" x14ac:dyDescent="0.2">
      <c r="D2556" s="308"/>
      <c r="E2556" s="291"/>
      <c r="F2556" s="291"/>
      <c r="G2556" s="291"/>
      <c r="H2556" s="287"/>
      <c r="I2556" s="211"/>
      <c r="J2556" s="211"/>
      <c r="K2556" s="288"/>
    </row>
    <row r="2557" spans="4:11" x14ac:dyDescent="0.2">
      <c r="D2557" s="308"/>
      <c r="E2557" s="291"/>
      <c r="F2557" s="291"/>
      <c r="G2557" s="291"/>
      <c r="H2557" s="287"/>
      <c r="I2557" s="211"/>
      <c r="J2557" s="211"/>
      <c r="K2557" s="288"/>
    </row>
    <row r="2558" spans="4:11" x14ac:dyDescent="0.2">
      <c r="D2558" s="308"/>
      <c r="E2558" s="291"/>
      <c r="F2558" s="291"/>
      <c r="G2558" s="291"/>
      <c r="H2558" s="287"/>
      <c r="I2558" s="211"/>
      <c r="J2558" s="211"/>
      <c r="K2558" s="288"/>
    </row>
    <row r="2559" spans="4:11" x14ac:dyDescent="0.2">
      <c r="D2559" s="308"/>
      <c r="E2559" s="291"/>
      <c r="F2559" s="291"/>
      <c r="G2559" s="291"/>
      <c r="H2559" s="287"/>
      <c r="I2559" s="211"/>
      <c r="J2559" s="211"/>
      <c r="K2559" s="288"/>
    </row>
    <row r="2560" spans="4:11" x14ac:dyDescent="0.2">
      <c r="D2560" s="308"/>
      <c r="E2560" s="291"/>
      <c r="F2560" s="291"/>
      <c r="G2560" s="291"/>
      <c r="H2560" s="287"/>
      <c r="I2560" s="211"/>
      <c r="J2560" s="211"/>
      <c r="K2560" s="288"/>
    </row>
    <row r="2561" spans="4:11" x14ac:dyDescent="0.2">
      <c r="D2561" s="308"/>
      <c r="E2561" s="291"/>
      <c r="F2561" s="291"/>
      <c r="G2561" s="291"/>
      <c r="H2561" s="287"/>
      <c r="I2561" s="211"/>
      <c r="J2561" s="211"/>
      <c r="K2561" s="288"/>
    </row>
    <row r="2562" spans="4:11" x14ac:dyDescent="0.2">
      <c r="D2562" s="308"/>
      <c r="E2562" s="291"/>
      <c r="F2562" s="291"/>
      <c r="G2562" s="291"/>
      <c r="H2562" s="287"/>
      <c r="I2562" s="211"/>
      <c r="J2562" s="211"/>
      <c r="K2562" s="288"/>
    </row>
    <row r="2563" spans="4:11" x14ac:dyDescent="0.2">
      <c r="D2563" s="308"/>
      <c r="E2563" s="291"/>
      <c r="F2563" s="291"/>
      <c r="G2563" s="291"/>
      <c r="H2563" s="287"/>
      <c r="I2563" s="211"/>
      <c r="J2563" s="211"/>
      <c r="K2563" s="288"/>
    </row>
    <row r="2564" spans="4:11" x14ac:dyDescent="0.2">
      <c r="D2564" s="308"/>
      <c r="E2564" s="291"/>
      <c r="F2564" s="291"/>
      <c r="G2564" s="291"/>
      <c r="H2564" s="287"/>
      <c r="I2564" s="211"/>
      <c r="J2564" s="211"/>
      <c r="K2564" s="288"/>
    </row>
    <row r="2565" spans="4:11" x14ac:dyDescent="0.2">
      <c r="D2565" s="308"/>
      <c r="E2565" s="291"/>
      <c r="F2565" s="291"/>
      <c r="G2565" s="291"/>
      <c r="H2565" s="287"/>
      <c r="I2565" s="211"/>
      <c r="J2565" s="211"/>
      <c r="K2565" s="288"/>
    </row>
    <row r="2566" spans="4:11" x14ac:dyDescent="0.2">
      <c r="D2566" s="308"/>
      <c r="E2566" s="291"/>
      <c r="F2566" s="291"/>
      <c r="G2566" s="291"/>
      <c r="H2566" s="287"/>
      <c r="I2566" s="211"/>
      <c r="J2566" s="211"/>
      <c r="K2566" s="288"/>
    </row>
    <row r="2567" spans="4:11" x14ac:dyDescent="0.2">
      <c r="D2567" s="308"/>
      <c r="E2567" s="291"/>
      <c r="F2567" s="291"/>
      <c r="G2567" s="291"/>
      <c r="H2567" s="287"/>
      <c r="I2567" s="211"/>
      <c r="J2567" s="211"/>
      <c r="K2567" s="288"/>
    </row>
    <row r="2568" spans="4:11" x14ac:dyDescent="0.2">
      <c r="D2568" s="308"/>
      <c r="E2568" s="291"/>
      <c r="F2568" s="291"/>
      <c r="G2568" s="291"/>
      <c r="H2568" s="287"/>
      <c r="I2568" s="211"/>
      <c r="J2568" s="211"/>
      <c r="K2568" s="288"/>
    </row>
    <row r="2569" spans="4:11" x14ac:dyDescent="0.2">
      <c r="D2569" s="308"/>
      <c r="E2569" s="291"/>
      <c r="F2569" s="291"/>
      <c r="G2569" s="291"/>
      <c r="H2569" s="287"/>
      <c r="I2569" s="211"/>
      <c r="J2569" s="211"/>
      <c r="K2569" s="288"/>
    </row>
    <row r="2570" spans="4:11" x14ac:dyDescent="0.2">
      <c r="D2570" s="308"/>
      <c r="E2570" s="291"/>
      <c r="F2570" s="291"/>
      <c r="G2570" s="291"/>
      <c r="H2570" s="287"/>
      <c r="I2570" s="211"/>
      <c r="J2570" s="211"/>
      <c r="K2570" s="288"/>
    </row>
    <row r="2571" spans="4:11" x14ac:dyDescent="0.2">
      <c r="D2571" s="308"/>
      <c r="E2571" s="291"/>
      <c r="F2571" s="291"/>
      <c r="G2571" s="291"/>
      <c r="H2571" s="287"/>
      <c r="I2571" s="211"/>
      <c r="J2571" s="211"/>
      <c r="K2571" s="288"/>
    </row>
    <row r="2572" spans="4:11" x14ac:dyDescent="0.2">
      <c r="D2572" s="308"/>
      <c r="E2572" s="291"/>
      <c r="F2572" s="291"/>
      <c r="G2572" s="291"/>
      <c r="H2572" s="287"/>
      <c r="I2572" s="211"/>
      <c r="J2572" s="211"/>
      <c r="K2572" s="288"/>
    </row>
    <row r="2573" spans="4:11" x14ac:dyDescent="0.2">
      <c r="D2573" s="308"/>
      <c r="E2573" s="291"/>
      <c r="F2573" s="291"/>
      <c r="G2573" s="291"/>
      <c r="H2573" s="287"/>
      <c r="I2573" s="211"/>
      <c r="J2573" s="211"/>
      <c r="K2573" s="288"/>
    </row>
    <row r="2574" spans="4:11" x14ac:dyDescent="0.2">
      <c r="D2574" s="308"/>
      <c r="E2574" s="291"/>
      <c r="F2574" s="291"/>
      <c r="G2574" s="291"/>
      <c r="H2574" s="287"/>
      <c r="I2574" s="211"/>
      <c r="J2574" s="211"/>
      <c r="K2574" s="288"/>
    </row>
    <row r="2575" spans="4:11" x14ac:dyDescent="0.2">
      <c r="D2575" s="308"/>
      <c r="E2575" s="291"/>
      <c r="F2575" s="291"/>
      <c r="G2575" s="291"/>
      <c r="H2575" s="287"/>
      <c r="I2575" s="211"/>
      <c r="J2575" s="211"/>
      <c r="K2575" s="288"/>
    </row>
    <row r="2576" spans="4:11" x14ac:dyDescent="0.2">
      <c r="D2576" s="308"/>
      <c r="E2576" s="291"/>
      <c r="F2576" s="291"/>
      <c r="G2576" s="291"/>
      <c r="H2576" s="287"/>
      <c r="I2576" s="211"/>
      <c r="J2576" s="211"/>
      <c r="K2576" s="288"/>
    </row>
    <row r="2577" spans="4:11" x14ac:dyDescent="0.2">
      <c r="D2577" s="308"/>
      <c r="E2577" s="291"/>
      <c r="F2577" s="291"/>
      <c r="G2577" s="291"/>
      <c r="H2577" s="287"/>
      <c r="I2577" s="211"/>
      <c r="J2577" s="211"/>
      <c r="K2577" s="288"/>
    </row>
    <row r="2578" spans="4:11" x14ac:dyDescent="0.2">
      <c r="D2578" s="308"/>
      <c r="E2578" s="291"/>
      <c r="F2578" s="291"/>
      <c r="G2578" s="291"/>
      <c r="H2578" s="287"/>
      <c r="I2578" s="211"/>
      <c r="J2578" s="211"/>
      <c r="K2578" s="288"/>
    </row>
    <row r="2579" spans="4:11" x14ac:dyDescent="0.2">
      <c r="D2579" s="308"/>
      <c r="E2579" s="291"/>
      <c r="F2579" s="291"/>
      <c r="G2579" s="291"/>
      <c r="H2579" s="287"/>
      <c r="I2579" s="211"/>
      <c r="J2579" s="211"/>
      <c r="K2579" s="288"/>
    </row>
    <row r="2580" spans="4:11" x14ac:dyDescent="0.2">
      <c r="D2580" s="308"/>
      <c r="E2580" s="291"/>
      <c r="F2580" s="291"/>
      <c r="G2580" s="291"/>
      <c r="H2580" s="287"/>
      <c r="I2580" s="211"/>
      <c r="J2580" s="211"/>
      <c r="K2580" s="288"/>
    </row>
    <row r="2581" spans="4:11" x14ac:dyDescent="0.2">
      <c r="D2581" s="308"/>
      <c r="E2581" s="291"/>
      <c r="F2581" s="291"/>
      <c r="G2581" s="291"/>
      <c r="H2581" s="287"/>
      <c r="I2581" s="211"/>
      <c r="J2581" s="211"/>
      <c r="K2581" s="288"/>
    </row>
    <row r="2582" spans="4:11" x14ac:dyDescent="0.2">
      <c r="D2582" s="308"/>
      <c r="E2582" s="291"/>
      <c r="F2582" s="291"/>
      <c r="G2582" s="291"/>
      <c r="H2582" s="287"/>
      <c r="I2582" s="211"/>
      <c r="J2582" s="211"/>
      <c r="K2582" s="288"/>
    </row>
    <row r="2583" spans="4:11" x14ac:dyDescent="0.2">
      <c r="D2583" s="308"/>
      <c r="E2583" s="291"/>
      <c r="F2583" s="291"/>
      <c r="G2583" s="291"/>
      <c r="H2583" s="287"/>
      <c r="I2583" s="211"/>
      <c r="J2583" s="211"/>
      <c r="K2583" s="288"/>
    </row>
    <row r="2584" spans="4:11" x14ac:dyDescent="0.2">
      <c r="D2584" s="308"/>
      <c r="E2584" s="291"/>
      <c r="F2584" s="291"/>
      <c r="G2584" s="291"/>
      <c r="H2584" s="287"/>
      <c r="I2584" s="211"/>
      <c r="J2584" s="211"/>
      <c r="K2584" s="288"/>
    </row>
    <row r="2585" spans="4:11" x14ac:dyDescent="0.2">
      <c r="D2585" s="308"/>
      <c r="E2585" s="291"/>
      <c r="F2585" s="291"/>
      <c r="G2585" s="291"/>
      <c r="H2585" s="287"/>
      <c r="I2585" s="211"/>
      <c r="J2585" s="211"/>
      <c r="K2585" s="288"/>
    </row>
    <row r="2586" spans="4:11" x14ac:dyDescent="0.2">
      <c r="D2586" s="308"/>
      <c r="E2586" s="291"/>
      <c r="F2586" s="291"/>
      <c r="G2586" s="291"/>
      <c r="H2586" s="287"/>
      <c r="I2586" s="211"/>
      <c r="J2586" s="211"/>
      <c r="K2586" s="288"/>
    </row>
    <row r="2587" spans="4:11" x14ac:dyDescent="0.2">
      <c r="D2587" s="308"/>
      <c r="E2587" s="291"/>
      <c r="F2587" s="291"/>
      <c r="G2587" s="291"/>
      <c r="H2587" s="287"/>
      <c r="I2587" s="211"/>
      <c r="J2587" s="211"/>
      <c r="K2587" s="288"/>
    </row>
    <row r="2588" spans="4:11" x14ac:dyDescent="0.2">
      <c r="D2588" s="308"/>
      <c r="E2588" s="291"/>
      <c r="F2588" s="291"/>
      <c r="G2588" s="291"/>
      <c r="H2588" s="287"/>
      <c r="I2588" s="211"/>
      <c r="J2588" s="211"/>
      <c r="K2588" s="288"/>
    </row>
    <row r="2589" spans="4:11" x14ac:dyDescent="0.2">
      <c r="D2589" s="308"/>
      <c r="E2589" s="291"/>
      <c r="F2589" s="291"/>
      <c r="G2589" s="291"/>
      <c r="H2589" s="287"/>
      <c r="I2589" s="211"/>
      <c r="J2589" s="211"/>
      <c r="K2589" s="288"/>
    </row>
    <row r="2590" spans="4:11" x14ac:dyDescent="0.2">
      <c r="D2590" s="308"/>
      <c r="E2590" s="291"/>
      <c r="F2590" s="291"/>
      <c r="G2590" s="291"/>
      <c r="H2590" s="287"/>
      <c r="I2590" s="211"/>
      <c r="J2590" s="211"/>
      <c r="K2590" s="288"/>
    </row>
    <row r="2591" spans="4:11" x14ac:dyDescent="0.2">
      <c r="D2591" s="308"/>
      <c r="E2591" s="291"/>
      <c r="F2591" s="291"/>
      <c r="G2591" s="291"/>
      <c r="H2591" s="287"/>
      <c r="I2591" s="211"/>
      <c r="J2591" s="211"/>
      <c r="K2591" s="288"/>
    </row>
    <row r="2592" spans="4:11" x14ac:dyDescent="0.2">
      <c r="D2592" s="308"/>
      <c r="E2592" s="291"/>
      <c r="F2592" s="291"/>
      <c r="G2592" s="291"/>
      <c r="H2592" s="287"/>
      <c r="I2592" s="211"/>
      <c r="J2592" s="211"/>
      <c r="K2592" s="288"/>
    </row>
    <row r="2593" spans="4:11" x14ac:dyDescent="0.2">
      <c r="D2593" s="308"/>
      <c r="E2593" s="291"/>
      <c r="F2593" s="291"/>
      <c r="G2593" s="291"/>
      <c r="H2593" s="287"/>
      <c r="I2593" s="211"/>
      <c r="J2593" s="211"/>
      <c r="K2593" s="288"/>
    </row>
    <row r="2594" spans="4:11" x14ac:dyDescent="0.2">
      <c r="D2594" s="308"/>
      <c r="E2594" s="291"/>
      <c r="F2594" s="291"/>
      <c r="G2594" s="291"/>
      <c r="H2594" s="287"/>
      <c r="I2594" s="211"/>
      <c r="J2594" s="211"/>
      <c r="K2594" s="288"/>
    </row>
    <row r="2595" spans="4:11" x14ac:dyDescent="0.2">
      <c r="D2595" s="308"/>
      <c r="E2595" s="291"/>
      <c r="F2595" s="291"/>
      <c r="G2595" s="291"/>
      <c r="H2595" s="287"/>
      <c r="I2595" s="211"/>
      <c r="J2595" s="211"/>
      <c r="K2595" s="288"/>
    </row>
    <row r="2596" spans="4:11" x14ac:dyDescent="0.2">
      <c r="D2596" s="308"/>
      <c r="E2596" s="291"/>
      <c r="F2596" s="291"/>
      <c r="G2596" s="291"/>
      <c r="H2596" s="287"/>
      <c r="I2596" s="211"/>
      <c r="J2596" s="211"/>
      <c r="K2596" s="288"/>
    </row>
    <row r="2597" spans="4:11" x14ac:dyDescent="0.2">
      <c r="D2597" s="308"/>
      <c r="E2597" s="291"/>
      <c r="F2597" s="291"/>
      <c r="G2597" s="291"/>
      <c r="H2597" s="287"/>
      <c r="I2597" s="211"/>
      <c r="J2597" s="211"/>
      <c r="K2597" s="288"/>
    </row>
    <row r="2598" spans="4:11" x14ac:dyDescent="0.2">
      <c r="D2598" s="308"/>
      <c r="E2598" s="291"/>
      <c r="F2598" s="291"/>
      <c r="G2598" s="291"/>
      <c r="H2598" s="287"/>
      <c r="I2598" s="211"/>
      <c r="J2598" s="211"/>
      <c r="K2598" s="288"/>
    </row>
    <row r="2599" spans="4:11" x14ac:dyDescent="0.2">
      <c r="D2599" s="308"/>
      <c r="E2599" s="291"/>
      <c r="F2599" s="291"/>
      <c r="G2599" s="291"/>
      <c r="H2599" s="287"/>
      <c r="I2599" s="211"/>
      <c r="J2599" s="211"/>
      <c r="K2599" s="288"/>
    </row>
    <row r="2600" spans="4:11" x14ac:dyDescent="0.2">
      <c r="D2600" s="308"/>
      <c r="E2600" s="291"/>
      <c r="F2600" s="291"/>
      <c r="G2600" s="291"/>
      <c r="H2600" s="287"/>
      <c r="I2600" s="211"/>
      <c r="J2600" s="211"/>
      <c r="K2600" s="288"/>
    </row>
    <row r="2601" spans="4:11" x14ac:dyDescent="0.2">
      <c r="D2601" s="308"/>
      <c r="E2601" s="291"/>
      <c r="F2601" s="291"/>
      <c r="G2601" s="291"/>
      <c r="H2601" s="287"/>
      <c r="I2601" s="211"/>
      <c r="J2601" s="211"/>
      <c r="K2601" s="288"/>
    </row>
    <row r="2602" spans="4:11" x14ac:dyDescent="0.2">
      <c r="D2602" s="308"/>
      <c r="E2602" s="291"/>
      <c r="F2602" s="291"/>
      <c r="G2602" s="291"/>
      <c r="H2602" s="287"/>
      <c r="I2602" s="211"/>
      <c r="J2602" s="211"/>
      <c r="K2602" s="288"/>
    </row>
    <row r="2603" spans="4:11" x14ac:dyDescent="0.2">
      <c r="D2603" s="308"/>
      <c r="E2603" s="291"/>
      <c r="F2603" s="291"/>
      <c r="G2603" s="291"/>
      <c r="H2603" s="287"/>
      <c r="I2603" s="211"/>
      <c r="J2603" s="211"/>
      <c r="K2603" s="288"/>
    </row>
    <row r="2604" spans="4:11" x14ac:dyDescent="0.2">
      <c r="D2604" s="308"/>
      <c r="E2604" s="291"/>
      <c r="F2604" s="291"/>
      <c r="G2604" s="291"/>
      <c r="H2604" s="287"/>
      <c r="I2604" s="211"/>
      <c r="J2604" s="211"/>
      <c r="K2604" s="288"/>
    </row>
    <row r="2605" spans="4:11" x14ac:dyDescent="0.2">
      <c r="D2605" s="308"/>
      <c r="E2605" s="291"/>
      <c r="F2605" s="291"/>
      <c r="G2605" s="291"/>
      <c r="H2605" s="287"/>
      <c r="I2605" s="211"/>
      <c r="J2605" s="211"/>
      <c r="K2605" s="288"/>
    </row>
    <row r="2606" spans="4:11" x14ac:dyDescent="0.2">
      <c r="D2606" s="308"/>
      <c r="E2606" s="291"/>
      <c r="F2606" s="291"/>
      <c r="G2606" s="291"/>
      <c r="H2606" s="287"/>
      <c r="I2606" s="211"/>
      <c r="J2606" s="211"/>
      <c r="K2606" s="288"/>
    </row>
    <row r="2607" spans="4:11" x14ac:dyDescent="0.2">
      <c r="D2607" s="308"/>
      <c r="E2607" s="291"/>
      <c r="F2607" s="291"/>
      <c r="G2607" s="291"/>
      <c r="H2607" s="287"/>
      <c r="I2607" s="211"/>
      <c r="J2607" s="211"/>
      <c r="K2607" s="288"/>
    </row>
    <row r="2608" spans="4:11" x14ac:dyDescent="0.2">
      <c r="D2608" s="308"/>
      <c r="E2608" s="291"/>
      <c r="F2608" s="291"/>
      <c r="G2608" s="291"/>
      <c r="H2608" s="287"/>
      <c r="I2608" s="211"/>
      <c r="J2608" s="211"/>
      <c r="K2608" s="288"/>
    </row>
    <row r="2609" spans="4:11" x14ac:dyDescent="0.2">
      <c r="D2609" s="308"/>
      <c r="E2609" s="291"/>
      <c r="F2609" s="291"/>
      <c r="G2609" s="291"/>
      <c r="H2609" s="287"/>
      <c r="I2609" s="211"/>
      <c r="J2609" s="211"/>
      <c r="K2609" s="288"/>
    </row>
    <row r="2610" spans="4:11" x14ac:dyDescent="0.2">
      <c r="D2610" s="308"/>
      <c r="E2610" s="291"/>
      <c r="F2610" s="291"/>
      <c r="G2610" s="291"/>
      <c r="H2610" s="287"/>
      <c r="I2610" s="211"/>
      <c r="J2610" s="211"/>
      <c r="K2610" s="288"/>
    </row>
    <row r="2611" spans="4:11" x14ac:dyDescent="0.2">
      <c r="D2611" s="308"/>
      <c r="E2611" s="291"/>
      <c r="F2611" s="291"/>
      <c r="G2611" s="291"/>
      <c r="H2611" s="287"/>
      <c r="I2611" s="211"/>
      <c r="J2611" s="211"/>
      <c r="K2611" s="288"/>
    </row>
    <row r="2612" spans="4:11" x14ac:dyDescent="0.2">
      <c r="D2612" s="308"/>
      <c r="E2612" s="291"/>
      <c r="F2612" s="291"/>
      <c r="G2612" s="291"/>
      <c r="H2612" s="287"/>
      <c r="I2612" s="211"/>
      <c r="J2612" s="211"/>
      <c r="K2612" s="288"/>
    </row>
    <row r="2613" spans="4:11" x14ac:dyDescent="0.2">
      <c r="D2613" s="308"/>
      <c r="E2613" s="291"/>
      <c r="F2613" s="291"/>
      <c r="G2613" s="291"/>
      <c r="H2613" s="287"/>
      <c r="I2613" s="211"/>
      <c r="J2613" s="211"/>
      <c r="K2613" s="288"/>
    </row>
    <row r="2614" spans="4:11" x14ac:dyDescent="0.2">
      <c r="D2614" s="308"/>
      <c r="E2614" s="291"/>
      <c r="F2614" s="291"/>
      <c r="G2614" s="291"/>
      <c r="H2614" s="287"/>
      <c r="I2614" s="211"/>
      <c r="J2614" s="211"/>
      <c r="K2614" s="288"/>
    </row>
    <row r="2615" spans="4:11" x14ac:dyDescent="0.2">
      <c r="D2615" s="308"/>
      <c r="E2615" s="291"/>
      <c r="F2615" s="291"/>
      <c r="G2615" s="291"/>
      <c r="H2615" s="287"/>
      <c r="I2615" s="211"/>
      <c r="J2615" s="211"/>
      <c r="K2615" s="288"/>
    </row>
    <row r="2616" spans="4:11" x14ac:dyDescent="0.2">
      <c r="D2616" s="308"/>
      <c r="E2616" s="291"/>
      <c r="F2616" s="291"/>
      <c r="G2616" s="291"/>
      <c r="H2616" s="287"/>
      <c r="I2616" s="211"/>
      <c r="J2616" s="211"/>
      <c r="K2616" s="288"/>
    </row>
    <row r="2617" spans="4:11" x14ac:dyDescent="0.2">
      <c r="D2617" s="308"/>
      <c r="E2617" s="291"/>
      <c r="F2617" s="291"/>
      <c r="G2617" s="291"/>
      <c r="H2617" s="287"/>
      <c r="I2617" s="211"/>
      <c r="J2617" s="211"/>
      <c r="K2617" s="288"/>
    </row>
    <row r="2618" spans="4:11" x14ac:dyDescent="0.2">
      <c r="D2618" s="308"/>
      <c r="E2618" s="291"/>
      <c r="F2618" s="291"/>
      <c r="G2618" s="291"/>
      <c r="H2618" s="287"/>
      <c r="I2618" s="211"/>
      <c r="J2618" s="211"/>
      <c r="K2618" s="288"/>
    </row>
    <row r="2619" spans="4:11" x14ac:dyDescent="0.2">
      <c r="D2619" s="308"/>
      <c r="E2619" s="291"/>
      <c r="F2619" s="291"/>
      <c r="G2619" s="291"/>
      <c r="H2619" s="287"/>
      <c r="I2619" s="211"/>
      <c r="J2619" s="211"/>
      <c r="K2619" s="288"/>
    </row>
    <row r="2620" spans="4:11" x14ac:dyDescent="0.2">
      <c r="D2620" s="308"/>
      <c r="E2620" s="291"/>
      <c r="F2620" s="291"/>
      <c r="G2620" s="291"/>
      <c r="H2620" s="287"/>
      <c r="I2620" s="211"/>
      <c r="J2620" s="211"/>
      <c r="K2620" s="288"/>
    </row>
    <row r="2621" spans="4:11" x14ac:dyDescent="0.2">
      <c r="D2621" s="308"/>
      <c r="E2621" s="291"/>
      <c r="F2621" s="291"/>
      <c r="G2621" s="291"/>
      <c r="H2621" s="287"/>
      <c r="I2621" s="211"/>
      <c r="J2621" s="211"/>
      <c r="K2621" s="288"/>
    </row>
    <row r="2622" spans="4:11" x14ac:dyDescent="0.2">
      <c r="D2622" s="308"/>
      <c r="E2622" s="291"/>
      <c r="F2622" s="291"/>
      <c r="G2622" s="291"/>
      <c r="H2622" s="287"/>
      <c r="I2622" s="211"/>
      <c r="J2622" s="211"/>
      <c r="K2622" s="288"/>
    </row>
    <row r="2623" spans="4:11" x14ac:dyDescent="0.2">
      <c r="D2623" s="308"/>
      <c r="E2623" s="291"/>
      <c r="F2623" s="291"/>
      <c r="G2623" s="291"/>
      <c r="H2623" s="287"/>
      <c r="I2623" s="211"/>
      <c r="J2623" s="211"/>
      <c r="K2623" s="288"/>
    </row>
    <row r="2624" spans="4:11" x14ac:dyDescent="0.2">
      <c r="D2624" s="308"/>
      <c r="E2624" s="291"/>
      <c r="F2624" s="291"/>
      <c r="G2624" s="291"/>
      <c r="H2624" s="287"/>
      <c r="I2624" s="211"/>
      <c r="J2624" s="211"/>
      <c r="K2624" s="288"/>
    </row>
    <row r="2625" spans="4:11" x14ac:dyDescent="0.2">
      <c r="D2625" s="308"/>
      <c r="E2625" s="291"/>
      <c r="F2625" s="291"/>
      <c r="G2625" s="291"/>
      <c r="H2625" s="287"/>
      <c r="I2625" s="211"/>
      <c r="J2625" s="211"/>
      <c r="K2625" s="288"/>
    </row>
    <row r="2626" spans="4:11" x14ac:dyDescent="0.2">
      <c r="D2626" s="308"/>
      <c r="E2626" s="291"/>
      <c r="F2626" s="291"/>
      <c r="G2626" s="291"/>
      <c r="H2626" s="287"/>
      <c r="I2626" s="211"/>
      <c r="J2626" s="211"/>
      <c r="K2626" s="288"/>
    </row>
    <row r="2627" spans="4:11" x14ac:dyDescent="0.2">
      <c r="D2627" s="308"/>
      <c r="E2627" s="291"/>
      <c r="F2627" s="291"/>
      <c r="G2627" s="291"/>
      <c r="H2627" s="287"/>
      <c r="I2627" s="211"/>
      <c r="J2627" s="211"/>
      <c r="K2627" s="288"/>
    </row>
    <row r="2628" spans="4:11" x14ac:dyDescent="0.2">
      <c r="D2628" s="308"/>
      <c r="E2628" s="291"/>
      <c r="F2628" s="291"/>
      <c r="G2628" s="291"/>
      <c r="H2628" s="287"/>
      <c r="I2628" s="211"/>
      <c r="J2628" s="211"/>
      <c r="K2628" s="288"/>
    </row>
    <row r="2629" spans="4:11" x14ac:dyDescent="0.2">
      <c r="D2629" s="308"/>
      <c r="E2629" s="291"/>
      <c r="F2629" s="291"/>
      <c r="G2629" s="291"/>
      <c r="H2629" s="287"/>
      <c r="I2629" s="211"/>
      <c r="J2629" s="211"/>
      <c r="K2629" s="288"/>
    </row>
    <row r="2630" spans="4:11" x14ac:dyDescent="0.2">
      <c r="D2630" s="308"/>
      <c r="E2630" s="291"/>
      <c r="F2630" s="291"/>
      <c r="G2630" s="291"/>
      <c r="H2630" s="287"/>
      <c r="I2630" s="211"/>
      <c r="J2630" s="211"/>
      <c r="K2630" s="288"/>
    </row>
    <row r="2631" spans="4:11" x14ac:dyDescent="0.2">
      <c r="D2631" s="308"/>
      <c r="E2631" s="291"/>
      <c r="F2631" s="291"/>
      <c r="G2631" s="291"/>
      <c r="H2631" s="287"/>
      <c r="I2631" s="211"/>
      <c r="J2631" s="211"/>
      <c r="K2631" s="288"/>
    </row>
    <row r="2632" spans="4:11" x14ac:dyDescent="0.2">
      <c r="D2632" s="308"/>
      <c r="E2632" s="291"/>
      <c r="F2632" s="291"/>
      <c r="G2632" s="291"/>
      <c r="H2632" s="287"/>
      <c r="I2632" s="211"/>
      <c r="J2632" s="211"/>
      <c r="K2632" s="288"/>
    </row>
    <row r="2633" spans="4:11" x14ac:dyDescent="0.2">
      <c r="D2633" s="308"/>
      <c r="E2633" s="291"/>
      <c r="F2633" s="291"/>
      <c r="G2633" s="291"/>
      <c r="H2633" s="287"/>
      <c r="I2633" s="211"/>
      <c r="J2633" s="211"/>
      <c r="K2633" s="288"/>
    </row>
    <row r="2634" spans="4:11" x14ac:dyDescent="0.2">
      <c r="D2634" s="308"/>
      <c r="E2634" s="291"/>
      <c r="F2634" s="291"/>
      <c r="G2634" s="291"/>
      <c r="H2634" s="287"/>
      <c r="I2634" s="211"/>
      <c r="J2634" s="211"/>
      <c r="K2634" s="288"/>
    </row>
    <row r="2635" spans="4:11" x14ac:dyDescent="0.2">
      <c r="D2635" s="308"/>
      <c r="E2635" s="291"/>
      <c r="F2635" s="291"/>
      <c r="G2635" s="291"/>
      <c r="H2635" s="287"/>
      <c r="I2635" s="211"/>
      <c r="J2635" s="211"/>
      <c r="K2635" s="288"/>
    </row>
    <row r="2636" spans="4:11" x14ac:dyDescent="0.2">
      <c r="D2636" s="308"/>
      <c r="E2636" s="291"/>
      <c r="F2636" s="291"/>
      <c r="G2636" s="291"/>
      <c r="H2636" s="287"/>
      <c r="I2636" s="211"/>
      <c r="J2636" s="211"/>
      <c r="K2636" s="288"/>
    </row>
    <row r="2637" spans="4:11" x14ac:dyDescent="0.2">
      <c r="D2637" s="308"/>
      <c r="E2637" s="291"/>
      <c r="F2637" s="291"/>
      <c r="G2637" s="291"/>
      <c r="H2637" s="287"/>
      <c r="I2637" s="211"/>
      <c r="J2637" s="211"/>
      <c r="K2637" s="288"/>
    </row>
    <row r="2638" spans="4:11" x14ac:dyDescent="0.2">
      <c r="D2638" s="308"/>
      <c r="E2638" s="291"/>
      <c r="F2638" s="291"/>
      <c r="G2638" s="291"/>
      <c r="H2638" s="287"/>
      <c r="I2638" s="211"/>
      <c r="J2638" s="211"/>
      <c r="K2638" s="288"/>
    </row>
    <row r="2639" spans="4:11" x14ac:dyDescent="0.2">
      <c r="D2639" s="308"/>
      <c r="E2639" s="291"/>
      <c r="F2639" s="291"/>
      <c r="G2639" s="291"/>
      <c r="H2639" s="287"/>
      <c r="I2639" s="211"/>
      <c r="J2639" s="211"/>
      <c r="K2639" s="288"/>
    </row>
    <row r="2640" spans="4:11" x14ac:dyDescent="0.2">
      <c r="D2640" s="308"/>
      <c r="E2640" s="291"/>
      <c r="F2640" s="291"/>
      <c r="G2640" s="291"/>
      <c r="H2640" s="287"/>
      <c r="I2640" s="211"/>
      <c r="J2640" s="211"/>
      <c r="K2640" s="288"/>
    </row>
    <row r="2641" spans="4:11" x14ac:dyDescent="0.2">
      <c r="D2641" s="308"/>
      <c r="E2641" s="291"/>
      <c r="F2641" s="291"/>
      <c r="G2641" s="291"/>
      <c r="H2641" s="287"/>
      <c r="I2641" s="211"/>
      <c r="J2641" s="211"/>
      <c r="K2641" s="288"/>
    </row>
    <row r="2642" spans="4:11" x14ac:dyDescent="0.2">
      <c r="D2642" s="308"/>
      <c r="E2642" s="291"/>
      <c r="F2642" s="291"/>
      <c r="G2642" s="291"/>
      <c r="H2642" s="287"/>
      <c r="I2642" s="211"/>
      <c r="J2642" s="211"/>
      <c r="K2642" s="288"/>
    </row>
    <row r="2643" spans="4:11" x14ac:dyDescent="0.2">
      <c r="D2643" s="308"/>
      <c r="E2643" s="291"/>
      <c r="F2643" s="291"/>
      <c r="G2643" s="291"/>
      <c r="H2643" s="287"/>
      <c r="I2643" s="211"/>
      <c r="J2643" s="211"/>
      <c r="K2643" s="288"/>
    </row>
    <row r="2644" spans="4:11" x14ac:dyDescent="0.2">
      <c r="D2644" s="308"/>
      <c r="E2644" s="291"/>
      <c r="F2644" s="291"/>
      <c r="G2644" s="291"/>
      <c r="H2644" s="287"/>
      <c r="I2644" s="211"/>
      <c r="J2644" s="211"/>
      <c r="K2644" s="288"/>
    </row>
    <row r="2645" spans="4:11" x14ac:dyDescent="0.2">
      <c r="D2645" s="308"/>
      <c r="E2645" s="291"/>
      <c r="F2645" s="291"/>
      <c r="G2645" s="291"/>
      <c r="H2645" s="287"/>
      <c r="I2645" s="211"/>
      <c r="J2645" s="211"/>
      <c r="K2645" s="288"/>
    </row>
    <row r="2646" spans="4:11" x14ac:dyDescent="0.2">
      <c r="D2646" s="308"/>
      <c r="E2646" s="291"/>
      <c r="F2646" s="291"/>
      <c r="G2646" s="291"/>
      <c r="H2646" s="287"/>
      <c r="I2646" s="211"/>
      <c r="J2646" s="211"/>
      <c r="K2646" s="288"/>
    </row>
    <row r="2647" spans="4:11" x14ac:dyDescent="0.2">
      <c r="D2647" s="308"/>
      <c r="E2647" s="291"/>
      <c r="F2647" s="291"/>
      <c r="G2647" s="291"/>
      <c r="H2647" s="287"/>
      <c r="I2647" s="211"/>
      <c r="J2647" s="211"/>
      <c r="K2647" s="288"/>
    </row>
    <row r="2648" spans="4:11" x14ac:dyDescent="0.2">
      <c r="D2648" s="308"/>
      <c r="E2648" s="291"/>
      <c r="F2648" s="291"/>
      <c r="G2648" s="291"/>
      <c r="H2648" s="287"/>
      <c r="I2648" s="211"/>
      <c r="J2648" s="211"/>
      <c r="K2648" s="288"/>
    </row>
    <row r="2649" spans="4:11" x14ac:dyDescent="0.2">
      <c r="D2649" s="308"/>
      <c r="E2649" s="291"/>
      <c r="F2649" s="291"/>
      <c r="G2649" s="291"/>
      <c r="H2649" s="287"/>
      <c r="I2649" s="211"/>
      <c r="J2649" s="211"/>
      <c r="K2649" s="288"/>
    </row>
    <row r="2650" spans="4:11" x14ac:dyDescent="0.2">
      <c r="D2650" s="308"/>
      <c r="E2650" s="291"/>
      <c r="F2650" s="291"/>
      <c r="G2650" s="291"/>
      <c r="H2650" s="287"/>
      <c r="I2650" s="211"/>
      <c r="J2650" s="211"/>
      <c r="K2650" s="288"/>
    </row>
    <row r="2651" spans="4:11" x14ac:dyDescent="0.2">
      <c r="D2651" s="308"/>
      <c r="E2651" s="291"/>
      <c r="F2651" s="291"/>
      <c r="G2651" s="291"/>
      <c r="H2651" s="287"/>
      <c r="I2651" s="211"/>
      <c r="J2651" s="211"/>
      <c r="K2651" s="288"/>
    </row>
    <row r="2652" spans="4:11" x14ac:dyDescent="0.2">
      <c r="D2652" s="308"/>
      <c r="E2652" s="291"/>
      <c r="F2652" s="291"/>
      <c r="G2652" s="291"/>
      <c r="H2652" s="287"/>
      <c r="I2652" s="211"/>
      <c r="J2652" s="211"/>
      <c r="K2652" s="288"/>
    </row>
    <row r="2653" spans="4:11" x14ac:dyDescent="0.2">
      <c r="D2653" s="308"/>
      <c r="E2653" s="291"/>
      <c r="F2653" s="291"/>
      <c r="G2653" s="291"/>
      <c r="H2653" s="287"/>
      <c r="I2653" s="211"/>
      <c r="J2653" s="211"/>
      <c r="K2653" s="288"/>
    </row>
    <row r="2654" spans="4:11" x14ac:dyDescent="0.2">
      <c r="D2654" s="308"/>
      <c r="E2654" s="291"/>
      <c r="F2654" s="291"/>
      <c r="G2654" s="291"/>
      <c r="H2654" s="287"/>
      <c r="I2654" s="211"/>
      <c r="J2654" s="211"/>
      <c r="K2654" s="288"/>
    </row>
    <row r="2655" spans="4:11" x14ac:dyDescent="0.2">
      <c r="D2655" s="308"/>
      <c r="E2655" s="291"/>
      <c r="F2655" s="291"/>
      <c r="G2655" s="291"/>
      <c r="H2655" s="287"/>
      <c r="I2655" s="211"/>
      <c r="J2655" s="211"/>
      <c r="K2655" s="288"/>
    </row>
    <row r="2656" spans="4:11" x14ac:dyDescent="0.2">
      <c r="D2656" s="308"/>
      <c r="E2656" s="291"/>
      <c r="F2656" s="291"/>
      <c r="G2656" s="291"/>
      <c r="H2656" s="287"/>
      <c r="I2656" s="211"/>
      <c r="J2656" s="211"/>
      <c r="K2656" s="288"/>
    </row>
    <row r="2657" spans="4:11" x14ac:dyDescent="0.2">
      <c r="D2657" s="308"/>
      <c r="E2657" s="291"/>
      <c r="F2657" s="291"/>
      <c r="G2657" s="291"/>
      <c r="H2657" s="287"/>
      <c r="I2657" s="211"/>
      <c r="J2657" s="211"/>
      <c r="K2657" s="288"/>
    </row>
    <row r="2658" spans="4:11" x14ac:dyDescent="0.2">
      <c r="D2658" s="308"/>
      <c r="E2658" s="291"/>
      <c r="F2658" s="291"/>
      <c r="G2658" s="291"/>
      <c r="H2658" s="287"/>
      <c r="I2658" s="211"/>
      <c r="J2658" s="211"/>
      <c r="K2658" s="288"/>
    </row>
    <row r="2659" spans="4:11" x14ac:dyDescent="0.2">
      <c r="D2659" s="308"/>
      <c r="E2659" s="291"/>
      <c r="F2659" s="291"/>
      <c r="G2659" s="291"/>
      <c r="H2659" s="287"/>
      <c r="I2659" s="211"/>
      <c r="J2659" s="211"/>
      <c r="K2659" s="288"/>
    </row>
    <row r="2660" spans="4:11" x14ac:dyDescent="0.2">
      <c r="D2660" s="308"/>
      <c r="E2660" s="291"/>
      <c r="F2660" s="291"/>
      <c r="G2660" s="291"/>
      <c r="H2660" s="287"/>
      <c r="I2660" s="211"/>
      <c r="J2660" s="211"/>
      <c r="K2660" s="288"/>
    </row>
    <row r="2661" spans="4:11" x14ac:dyDescent="0.2">
      <c r="D2661" s="308"/>
      <c r="E2661" s="291"/>
      <c r="F2661" s="291"/>
      <c r="G2661" s="291"/>
      <c r="H2661" s="287"/>
      <c r="I2661" s="211"/>
      <c r="J2661" s="211"/>
      <c r="K2661" s="288"/>
    </row>
    <row r="2662" spans="4:11" x14ac:dyDescent="0.2">
      <c r="D2662" s="308"/>
      <c r="E2662" s="291"/>
      <c r="F2662" s="291"/>
      <c r="G2662" s="291"/>
      <c r="H2662" s="287"/>
      <c r="I2662" s="211"/>
      <c r="J2662" s="211"/>
      <c r="K2662" s="288"/>
    </row>
    <row r="2663" spans="4:11" x14ac:dyDescent="0.2">
      <c r="D2663" s="308"/>
      <c r="E2663" s="291"/>
      <c r="F2663" s="291"/>
      <c r="G2663" s="291"/>
      <c r="H2663" s="287"/>
      <c r="I2663" s="211"/>
      <c r="J2663" s="211"/>
      <c r="K2663" s="288"/>
    </row>
    <row r="2664" spans="4:11" x14ac:dyDescent="0.2">
      <c r="D2664" s="308"/>
      <c r="E2664" s="291"/>
      <c r="F2664" s="291"/>
      <c r="G2664" s="291"/>
      <c r="H2664" s="287"/>
      <c r="I2664" s="211"/>
      <c r="J2664" s="211"/>
      <c r="K2664" s="288"/>
    </row>
    <row r="2665" spans="4:11" x14ac:dyDescent="0.2">
      <c r="D2665" s="308"/>
      <c r="E2665" s="291"/>
      <c r="F2665" s="291"/>
      <c r="G2665" s="291"/>
      <c r="H2665" s="287"/>
      <c r="I2665" s="211"/>
      <c r="J2665" s="211"/>
      <c r="K2665" s="288"/>
    </row>
    <row r="2666" spans="4:11" x14ac:dyDescent="0.2">
      <c r="D2666" s="308"/>
      <c r="E2666" s="291"/>
      <c r="F2666" s="291"/>
      <c r="G2666" s="291"/>
      <c r="H2666" s="287"/>
      <c r="I2666" s="211"/>
      <c r="J2666" s="211"/>
      <c r="K2666" s="288"/>
    </row>
    <row r="2667" spans="4:11" x14ac:dyDescent="0.2">
      <c r="D2667" s="308"/>
      <c r="E2667" s="291"/>
      <c r="F2667" s="291"/>
      <c r="G2667" s="291"/>
      <c r="H2667" s="287"/>
      <c r="I2667" s="211"/>
      <c r="J2667" s="211"/>
      <c r="K2667" s="288"/>
    </row>
    <row r="2668" spans="4:11" x14ac:dyDescent="0.2">
      <c r="D2668" s="308"/>
      <c r="E2668" s="291"/>
      <c r="F2668" s="291"/>
      <c r="G2668" s="291"/>
      <c r="H2668" s="287"/>
      <c r="I2668" s="211"/>
      <c r="J2668" s="211"/>
      <c r="K2668" s="288"/>
    </row>
    <row r="2669" spans="4:11" x14ac:dyDescent="0.2">
      <c r="D2669" s="308"/>
      <c r="E2669" s="291"/>
      <c r="F2669" s="291"/>
      <c r="G2669" s="291"/>
      <c r="H2669" s="287"/>
      <c r="I2669" s="211"/>
      <c r="J2669" s="211"/>
      <c r="K2669" s="288"/>
    </row>
    <row r="2670" spans="4:11" x14ac:dyDescent="0.2">
      <c r="D2670" s="308"/>
      <c r="E2670" s="291"/>
      <c r="F2670" s="291"/>
      <c r="G2670" s="291"/>
      <c r="H2670" s="287"/>
      <c r="I2670" s="211"/>
      <c r="J2670" s="211"/>
      <c r="K2670" s="288"/>
    </row>
    <row r="2671" spans="4:11" x14ac:dyDescent="0.2">
      <c r="D2671" s="308"/>
      <c r="E2671" s="291"/>
      <c r="F2671" s="291"/>
      <c r="G2671" s="291"/>
      <c r="H2671" s="287"/>
      <c r="I2671" s="211"/>
      <c r="J2671" s="211"/>
      <c r="K2671" s="288"/>
    </row>
    <row r="2672" spans="4:11" x14ac:dyDescent="0.2">
      <c r="D2672" s="308"/>
      <c r="E2672" s="291"/>
      <c r="F2672" s="291"/>
      <c r="G2672" s="291"/>
      <c r="H2672" s="287"/>
      <c r="I2672" s="211"/>
      <c r="J2672" s="211"/>
      <c r="K2672" s="288"/>
    </row>
    <row r="2673" spans="4:11" x14ac:dyDescent="0.2">
      <c r="D2673" s="308"/>
      <c r="E2673" s="291"/>
      <c r="F2673" s="291"/>
      <c r="G2673" s="291"/>
      <c r="H2673" s="287"/>
      <c r="I2673" s="211"/>
      <c r="J2673" s="211"/>
      <c r="K2673" s="288"/>
    </row>
    <row r="2674" spans="4:11" x14ac:dyDescent="0.2">
      <c r="D2674" s="308"/>
      <c r="E2674" s="291"/>
      <c r="F2674" s="291"/>
      <c r="G2674" s="291"/>
      <c r="H2674" s="287"/>
      <c r="I2674" s="211"/>
      <c r="J2674" s="211"/>
      <c r="K2674" s="288"/>
    </row>
    <row r="2675" spans="4:11" x14ac:dyDescent="0.2">
      <c r="D2675" s="308"/>
      <c r="E2675" s="291"/>
      <c r="F2675" s="291"/>
      <c r="G2675" s="291"/>
      <c r="H2675" s="287"/>
      <c r="I2675" s="211"/>
      <c r="J2675" s="211"/>
      <c r="K2675" s="288"/>
    </row>
    <row r="2676" spans="4:11" x14ac:dyDescent="0.2">
      <c r="D2676" s="308"/>
      <c r="E2676" s="291"/>
      <c r="F2676" s="291"/>
      <c r="G2676" s="291"/>
      <c r="H2676" s="287"/>
      <c r="I2676" s="211"/>
      <c r="J2676" s="211"/>
      <c r="K2676" s="288"/>
    </row>
    <row r="2677" spans="4:11" x14ac:dyDescent="0.2">
      <c r="D2677" s="308"/>
      <c r="E2677" s="291"/>
      <c r="F2677" s="291"/>
      <c r="G2677" s="291"/>
      <c r="H2677" s="287"/>
      <c r="I2677" s="211"/>
      <c r="J2677" s="211"/>
      <c r="K2677" s="288"/>
    </row>
    <row r="2678" spans="4:11" x14ac:dyDescent="0.2">
      <c r="D2678" s="308"/>
      <c r="E2678" s="291"/>
      <c r="F2678" s="291"/>
      <c r="G2678" s="291"/>
      <c r="H2678" s="287"/>
      <c r="I2678" s="211"/>
      <c r="J2678" s="211"/>
      <c r="K2678" s="288"/>
    </row>
    <row r="2679" spans="4:11" x14ac:dyDescent="0.2">
      <c r="D2679" s="308"/>
      <c r="E2679" s="291"/>
      <c r="F2679" s="291"/>
      <c r="G2679" s="291"/>
      <c r="H2679" s="287"/>
      <c r="I2679" s="211"/>
      <c r="J2679" s="211"/>
      <c r="K2679" s="288"/>
    </row>
    <row r="2680" spans="4:11" x14ac:dyDescent="0.2">
      <c r="D2680" s="308"/>
      <c r="E2680" s="291"/>
      <c r="F2680" s="291"/>
      <c r="G2680" s="291"/>
      <c r="H2680" s="287"/>
      <c r="I2680" s="211"/>
      <c r="J2680" s="211"/>
      <c r="K2680" s="288"/>
    </row>
    <row r="2681" spans="4:11" x14ac:dyDescent="0.2">
      <c r="D2681" s="308"/>
      <c r="E2681" s="291"/>
      <c r="F2681" s="291"/>
      <c r="G2681" s="291"/>
      <c r="H2681" s="287"/>
      <c r="I2681" s="211"/>
      <c r="J2681" s="211"/>
      <c r="K2681" s="288"/>
    </row>
    <row r="2682" spans="4:11" x14ac:dyDescent="0.2">
      <c r="D2682" s="308"/>
      <c r="E2682" s="291"/>
      <c r="F2682" s="291"/>
      <c r="G2682" s="291"/>
      <c r="H2682" s="287"/>
      <c r="I2682" s="211"/>
      <c r="J2682" s="211"/>
      <c r="K2682" s="288"/>
    </row>
    <row r="2683" spans="4:11" x14ac:dyDescent="0.2">
      <c r="D2683" s="308"/>
      <c r="E2683" s="291"/>
      <c r="F2683" s="291"/>
      <c r="G2683" s="291"/>
      <c r="H2683" s="287"/>
      <c r="I2683" s="211"/>
      <c r="J2683" s="211"/>
      <c r="K2683" s="288"/>
    </row>
    <row r="2684" spans="4:11" x14ac:dyDescent="0.2">
      <c r="D2684" s="308"/>
      <c r="E2684" s="291"/>
      <c r="F2684" s="291"/>
      <c r="G2684" s="291"/>
      <c r="H2684" s="287"/>
      <c r="I2684" s="211"/>
      <c r="J2684" s="211"/>
      <c r="K2684" s="288"/>
    </row>
    <row r="2685" spans="4:11" x14ac:dyDescent="0.2">
      <c r="D2685" s="308"/>
      <c r="E2685" s="291"/>
      <c r="F2685" s="291"/>
      <c r="G2685" s="291"/>
      <c r="H2685" s="287"/>
      <c r="I2685" s="211"/>
      <c r="J2685" s="211"/>
      <c r="K2685" s="288"/>
    </row>
    <row r="2686" spans="4:11" x14ac:dyDescent="0.2">
      <c r="D2686" s="308"/>
      <c r="E2686" s="291"/>
      <c r="F2686" s="291"/>
      <c r="G2686" s="291"/>
      <c r="H2686" s="287"/>
      <c r="I2686" s="211"/>
      <c r="J2686" s="211"/>
      <c r="K2686" s="288"/>
    </row>
    <row r="2687" spans="4:11" x14ac:dyDescent="0.2">
      <c r="D2687" s="308"/>
      <c r="E2687" s="291"/>
      <c r="F2687" s="291"/>
      <c r="G2687" s="291"/>
      <c r="H2687" s="287"/>
      <c r="I2687" s="211"/>
      <c r="J2687" s="211"/>
      <c r="K2687" s="288"/>
    </row>
    <row r="2688" spans="4:11" x14ac:dyDescent="0.2">
      <c r="D2688" s="308"/>
      <c r="E2688" s="291"/>
      <c r="F2688" s="291"/>
      <c r="G2688" s="291"/>
      <c r="H2688" s="287"/>
      <c r="I2688" s="211"/>
      <c r="J2688" s="211"/>
      <c r="K2688" s="288"/>
    </row>
    <row r="2689" spans="4:11" x14ac:dyDescent="0.2">
      <c r="D2689" s="308"/>
      <c r="E2689" s="291"/>
      <c r="F2689" s="291"/>
      <c r="G2689" s="291"/>
      <c r="H2689" s="287"/>
      <c r="I2689" s="211"/>
      <c r="J2689" s="211"/>
      <c r="K2689" s="288"/>
    </row>
    <row r="2690" spans="4:11" x14ac:dyDescent="0.2">
      <c r="D2690" s="308"/>
      <c r="E2690" s="291"/>
      <c r="F2690" s="291"/>
      <c r="G2690" s="291"/>
      <c r="H2690" s="287"/>
      <c r="I2690" s="211"/>
      <c r="J2690" s="211"/>
      <c r="K2690" s="288"/>
    </row>
    <row r="2691" spans="4:11" x14ac:dyDescent="0.2">
      <c r="D2691" s="308"/>
      <c r="E2691" s="291"/>
      <c r="F2691" s="291"/>
      <c r="G2691" s="291"/>
      <c r="H2691" s="287"/>
      <c r="I2691" s="211"/>
      <c r="J2691" s="211"/>
      <c r="K2691" s="288"/>
    </row>
    <row r="2692" spans="4:11" x14ac:dyDescent="0.2">
      <c r="D2692" s="308"/>
      <c r="E2692" s="291"/>
      <c r="F2692" s="291"/>
      <c r="G2692" s="291"/>
      <c r="H2692" s="287"/>
      <c r="I2692" s="211"/>
      <c r="J2692" s="211"/>
      <c r="K2692" s="288"/>
    </row>
    <row r="2693" spans="4:11" x14ac:dyDescent="0.2">
      <c r="D2693" s="308"/>
      <c r="E2693" s="291"/>
      <c r="F2693" s="291"/>
      <c r="G2693" s="291"/>
      <c r="H2693" s="287"/>
      <c r="I2693" s="211"/>
      <c r="J2693" s="211"/>
      <c r="K2693" s="288"/>
    </row>
    <row r="2694" spans="4:11" x14ac:dyDescent="0.2">
      <c r="D2694" s="308"/>
      <c r="E2694" s="291"/>
      <c r="F2694" s="291"/>
      <c r="G2694" s="291"/>
      <c r="H2694" s="287"/>
      <c r="I2694" s="211"/>
      <c r="J2694" s="211"/>
      <c r="K2694" s="288"/>
    </row>
    <row r="2695" spans="4:11" x14ac:dyDescent="0.2">
      <c r="D2695" s="308"/>
      <c r="E2695" s="291"/>
      <c r="F2695" s="291"/>
      <c r="G2695" s="291"/>
      <c r="H2695" s="287"/>
      <c r="I2695" s="211"/>
      <c r="J2695" s="211"/>
      <c r="K2695" s="288"/>
    </row>
    <row r="2696" spans="4:11" x14ac:dyDescent="0.2">
      <c r="D2696" s="308"/>
      <c r="E2696" s="291"/>
      <c r="F2696" s="291"/>
      <c r="G2696" s="291"/>
      <c r="H2696" s="287"/>
      <c r="I2696" s="211"/>
      <c r="J2696" s="211"/>
      <c r="K2696" s="288"/>
    </row>
    <row r="2697" spans="4:11" x14ac:dyDescent="0.2">
      <c r="D2697" s="308"/>
      <c r="E2697" s="291"/>
      <c r="F2697" s="291"/>
      <c r="G2697" s="291"/>
      <c r="H2697" s="287"/>
      <c r="I2697" s="211"/>
      <c r="J2697" s="211"/>
      <c r="K2697" s="288"/>
    </row>
    <row r="2698" spans="4:11" x14ac:dyDescent="0.2">
      <c r="D2698" s="308"/>
      <c r="E2698" s="291"/>
      <c r="F2698" s="291"/>
      <c r="G2698" s="291"/>
      <c r="H2698" s="287"/>
      <c r="I2698" s="211"/>
      <c r="J2698" s="211"/>
      <c r="K2698" s="288"/>
    </row>
    <row r="2699" spans="4:11" x14ac:dyDescent="0.2">
      <c r="D2699" s="308"/>
      <c r="E2699" s="291"/>
      <c r="F2699" s="291"/>
      <c r="G2699" s="291"/>
      <c r="H2699" s="287"/>
      <c r="I2699" s="211"/>
      <c r="J2699" s="211"/>
      <c r="K2699" s="288"/>
    </row>
    <row r="2700" spans="4:11" x14ac:dyDescent="0.2">
      <c r="D2700" s="308"/>
      <c r="E2700" s="291"/>
      <c r="F2700" s="291"/>
      <c r="G2700" s="291"/>
      <c r="H2700" s="287"/>
      <c r="I2700" s="211"/>
      <c r="J2700" s="211"/>
      <c r="K2700" s="288"/>
    </row>
    <row r="2701" spans="4:11" x14ac:dyDescent="0.2">
      <c r="D2701" s="308"/>
      <c r="E2701" s="291"/>
      <c r="F2701" s="291"/>
      <c r="G2701" s="291"/>
      <c r="H2701" s="287"/>
      <c r="I2701" s="211"/>
      <c r="J2701" s="211"/>
      <c r="K2701" s="288"/>
    </row>
    <row r="2702" spans="4:11" x14ac:dyDescent="0.2">
      <c r="D2702" s="308"/>
      <c r="E2702" s="291"/>
      <c r="F2702" s="291"/>
      <c r="G2702" s="291"/>
      <c r="H2702" s="287"/>
      <c r="I2702" s="211"/>
      <c r="J2702" s="211"/>
      <c r="K2702" s="288"/>
    </row>
    <row r="2703" spans="4:11" x14ac:dyDescent="0.2">
      <c r="D2703" s="308"/>
      <c r="E2703" s="291"/>
      <c r="F2703" s="291"/>
      <c r="G2703" s="291"/>
      <c r="H2703" s="287"/>
      <c r="I2703" s="211"/>
      <c r="J2703" s="211"/>
      <c r="K2703" s="288"/>
    </row>
    <row r="2704" spans="4:11" x14ac:dyDescent="0.2">
      <c r="D2704" s="308"/>
      <c r="E2704" s="291"/>
      <c r="F2704" s="291"/>
      <c r="G2704" s="291"/>
      <c r="H2704" s="287"/>
      <c r="I2704" s="211"/>
      <c r="J2704" s="211"/>
      <c r="K2704" s="288"/>
    </row>
    <row r="2705" spans="4:11" x14ac:dyDescent="0.2">
      <c r="D2705" s="308"/>
      <c r="E2705" s="291"/>
      <c r="F2705" s="291"/>
      <c r="G2705" s="291"/>
      <c r="H2705" s="287"/>
      <c r="I2705" s="211"/>
      <c r="J2705" s="211"/>
      <c r="K2705" s="288"/>
    </row>
    <row r="2706" spans="4:11" x14ac:dyDescent="0.2">
      <c r="D2706" s="308"/>
      <c r="E2706" s="291"/>
      <c r="F2706" s="291"/>
      <c r="G2706" s="291"/>
      <c r="H2706" s="287"/>
      <c r="I2706" s="211"/>
      <c r="J2706" s="211"/>
      <c r="K2706" s="288"/>
    </row>
    <row r="2707" spans="4:11" x14ac:dyDescent="0.2">
      <c r="D2707" s="308"/>
      <c r="E2707" s="291"/>
      <c r="F2707" s="291"/>
      <c r="G2707" s="291"/>
      <c r="H2707" s="287"/>
      <c r="I2707" s="211"/>
      <c r="J2707" s="211"/>
      <c r="K2707" s="288"/>
    </row>
    <row r="2708" spans="4:11" x14ac:dyDescent="0.2">
      <c r="D2708" s="308"/>
      <c r="E2708" s="291"/>
      <c r="F2708" s="291"/>
      <c r="G2708" s="291"/>
      <c r="H2708" s="287"/>
      <c r="I2708" s="211"/>
      <c r="J2708" s="211"/>
      <c r="K2708" s="288"/>
    </row>
    <row r="2709" spans="4:11" x14ac:dyDescent="0.2">
      <c r="D2709" s="308"/>
      <c r="E2709" s="291"/>
      <c r="F2709" s="291"/>
      <c r="G2709" s="291"/>
      <c r="H2709" s="287"/>
      <c r="I2709" s="211"/>
      <c r="J2709" s="211"/>
      <c r="K2709" s="288"/>
    </row>
    <row r="2710" spans="4:11" x14ac:dyDescent="0.2">
      <c r="D2710" s="308"/>
      <c r="E2710" s="291"/>
      <c r="F2710" s="291"/>
      <c r="G2710" s="291"/>
      <c r="H2710" s="287"/>
      <c r="I2710" s="211"/>
      <c r="J2710" s="211"/>
      <c r="K2710" s="288"/>
    </row>
    <row r="2711" spans="4:11" x14ac:dyDescent="0.2">
      <c r="D2711" s="308"/>
      <c r="E2711" s="291"/>
      <c r="F2711" s="291"/>
      <c r="G2711" s="291"/>
      <c r="H2711" s="287"/>
      <c r="I2711" s="211"/>
      <c r="J2711" s="211"/>
      <c r="K2711" s="288"/>
    </row>
    <row r="2712" spans="4:11" x14ac:dyDescent="0.2">
      <c r="D2712" s="308"/>
      <c r="E2712" s="291"/>
      <c r="F2712" s="291"/>
      <c r="G2712" s="291"/>
      <c r="H2712" s="287"/>
      <c r="I2712" s="211"/>
      <c r="J2712" s="211"/>
      <c r="K2712" s="288"/>
    </row>
    <row r="2713" spans="4:11" x14ac:dyDescent="0.2">
      <c r="D2713" s="308"/>
      <c r="E2713" s="291"/>
      <c r="F2713" s="291"/>
      <c r="G2713" s="291"/>
      <c r="H2713" s="287"/>
      <c r="I2713" s="211"/>
      <c r="J2713" s="211"/>
      <c r="K2713" s="288"/>
    </row>
    <row r="2714" spans="4:11" x14ac:dyDescent="0.2">
      <c r="D2714" s="308"/>
      <c r="E2714" s="291"/>
      <c r="F2714" s="291"/>
      <c r="G2714" s="291"/>
      <c r="H2714" s="287"/>
      <c r="I2714" s="211"/>
      <c r="J2714" s="211"/>
      <c r="K2714" s="288"/>
    </row>
    <row r="2715" spans="4:11" x14ac:dyDescent="0.2">
      <c r="D2715" s="308"/>
      <c r="E2715" s="291"/>
      <c r="F2715" s="291"/>
      <c r="G2715" s="291"/>
      <c r="H2715" s="287"/>
      <c r="I2715" s="211"/>
      <c r="J2715" s="211"/>
      <c r="K2715" s="288"/>
    </row>
    <row r="2716" spans="4:11" x14ac:dyDescent="0.2">
      <c r="D2716" s="308"/>
      <c r="E2716" s="291"/>
      <c r="F2716" s="291"/>
      <c r="G2716" s="291"/>
      <c r="H2716" s="287"/>
      <c r="I2716" s="211"/>
      <c r="J2716" s="211"/>
      <c r="K2716" s="288"/>
    </row>
    <row r="2717" spans="4:11" x14ac:dyDescent="0.2">
      <c r="D2717" s="308"/>
      <c r="E2717" s="291"/>
      <c r="F2717" s="291"/>
      <c r="G2717" s="291"/>
      <c r="H2717" s="287"/>
      <c r="I2717" s="211"/>
      <c r="J2717" s="211"/>
      <c r="K2717" s="288"/>
    </row>
    <row r="2718" spans="4:11" x14ac:dyDescent="0.2">
      <c r="D2718" s="308"/>
      <c r="E2718" s="291"/>
      <c r="F2718" s="291"/>
      <c r="G2718" s="291"/>
      <c r="H2718" s="287"/>
      <c r="I2718" s="211"/>
      <c r="J2718" s="211"/>
      <c r="K2718" s="288"/>
    </row>
    <row r="2719" spans="4:11" x14ac:dyDescent="0.2">
      <c r="D2719" s="308"/>
      <c r="E2719" s="291"/>
      <c r="F2719" s="291"/>
      <c r="G2719" s="291"/>
      <c r="H2719" s="287"/>
      <c r="I2719" s="211"/>
      <c r="J2719" s="211"/>
      <c r="K2719" s="288"/>
    </row>
    <row r="2720" spans="4:11" x14ac:dyDescent="0.2">
      <c r="D2720" s="308"/>
      <c r="E2720" s="291"/>
      <c r="F2720" s="291"/>
      <c r="G2720" s="291"/>
      <c r="H2720" s="287"/>
      <c r="I2720" s="211"/>
      <c r="J2720" s="211"/>
      <c r="K2720" s="288"/>
    </row>
    <row r="2721" spans="4:11" x14ac:dyDescent="0.2">
      <c r="D2721" s="308"/>
      <c r="E2721" s="291"/>
      <c r="F2721" s="291"/>
      <c r="G2721" s="291"/>
      <c r="H2721" s="287"/>
      <c r="I2721" s="211"/>
      <c r="J2721" s="211"/>
      <c r="K2721" s="288"/>
    </row>
    <row r="2722" spans="4:11" x14ac:dyDescent="0.2">
      <c r="D2722" s="308"/>
      <c r="E2722" s="291"/>
      <c r="F2722" s="291"/>
      <c r="G2722" s="291"/>
      <c r="H2722" s="287"/>
      <c r="I2722" s="211"/>
      <c r="J2722" s="211"/>
      <c r="K2722" s="288"/>
    </row>
    <row r="2723" spans="4:11" x14ac:dyDescent="0.2">
      <c r="D2723" s="308"/>
      <c r="E2723" s="291"/>
      <c r="F2723" s="291"/>
      <c r="G2723" s="291"/>
      <c r="H2723" s="287"/>
      <c r="I2723" s="211"/>
      <c r="J2723" s="211"/>
      <c r="K2723" s="288"/>
    </row>
    <row r="2724" spans="4:11" x14ac:dyDescent="0.2">
      <c r="D2724" s="308"/>
      <c r="E2724" s="291"/>
      <c r="F2724" s="291"/>
      <c r="G2724" s="291"/>
      <c r="H2724" s="287"/>
      <c r="I2724" s="211"/>
      <c r="J2724" s="211"/>
      <c r="K2724" s="288"/>
    </row>
    <row r="2725" spans="4:11" x14ac:dyDescent="0.2">
      <c r="D2725" s="308"/>
      <c r="E2725" s="291"/>
      <c r="F2725" s="291"/>
      <c r="G2725" s="291"/>
      <c r="H2725" s="287"/>
      <c r="I2725" s="211"/>
      <c r="J2725" s="211"/>
      <c r="K2725" s="288"/>
    </row>
    <row r="2726" spans="4:11" x14ac:dyDescent="0.2">
      <c r="D2726" s="308"/>
      <c r="E2726" s="291"/>
      <c r="F2726" s="291"/>
      <c r="G2726" s="291"/>
      <c r="H2726" s="287"/>
      <c r="I2726" s="211"/>
      <c r="J2726" s="211"/>
      <c r="K2726" s="288"/>
    </row>
    <row r="2727" spans="4:11" x14ac:dyDescent="0.2">
      <c r="D2727" s="308"/>
      <c r="E2727" s="291"/>
      <c r="F2727" s="291"/>
      <c r="G2727" s="291"/>
      <c r="H2727" s="287"/>
      <c r="I2727" s="211"/>
      <c r="J2727" s="211"/>
      <c r="K2727" s="288"/>
    </row>
    <row r="2728" spans="4:11" x14ac:dyDescent="0.2">
      <c r="D2728" s="308"/>
      <c r="E2728" s="291"/>
      <c r="F2728" s="291"/>
      <c r="G2728" s="291"/>
      <c r="H2728" s="287"/>
      <c r="I2728" s="211"/>
      <c r="J2728" s="211"/>
      <c r="K2728" s="288"/>
    </row>
    <row r="2729" spans="4:11" x14ac:dyDescent="0.2">
      <c r="D2729" s="308"/>
      <c r="E2729" s="291"/>
      <c r="F2729" s="291"/>
      <c r="G2729" s="291"/>
      <c r="H2729" s="287"/>
      <c r="I2729" s="211"/>
      <c r="J2729" s="211"/>
      <c r="K2729" s="288"/>
    </row>
    <row r="2730" spans="4:11" x14ac:dyDescent="0.2">
      <c r="D2730" s="308"/>
      <c r="E2730" s="291"/>
      <c r="F2730" s="291"/>
      <c r="G2730" s="291"/>
      <c r="H2730" s="287"/>
      <c r="I2730" s="211"/>
      <c r="J2730" s="211"/>
      <c r="K2730" s="288"/>
    </row>
    <row r="2731" spans="4:11" x14ac:dyDescent="0.2">
      <c r="D2731" s="308"/>
      <c r="E2731" s="291"/>
      <c r="F2731" s="291"/>
      <c r="G2731" s="291"/>
      <c r="H2731" s="287"/>
      <c r="I2731" s="211"/>
      <c r="J2731" s="211"/>
      <c r="K2731" s="288"/>
    </row>
    <row r="2732" spans="4:11" x14ac:dyDescent="0.2">
      <c r="D2732" s="308"/>
      <c r="E2732" s="291"/>
      <c r="F2732" s="291"/>
      <c r="G2732" s="291"/>
      <c r="H2732" s="287"/>
      <c r="I2732" s="211"/>
      <c r="J2732" s="211"/>
      <c r="K2732" s="288"/>
    </row>
    <row r="2733" spans="4:11" x14ac:dyDescent="0.2">
      <c r="D2733" s="308"/>
      <c r="E2733" s="291"/>
      <c r="F2733" s="291"/>
      <c r="G2733" s="291"/>
      <c r="H2733" s="287"/>
      <c r="I2733" s="211"/>
      <c r="J2733" s="211"/>
      <c r="K2733" s="288"/>
    </row>
    <row r="2734" spans="4:11" x14ac:dyDescent="0.2">
      <c r="D2734" s="308"/>
      <c r="E2734" s="291"/>
      <c r="F2734" s="291"/>
      <c r="G2734" s="291"/>
      <c r="H2734" s="287"/>
      <c r="I2734" s="211"/>
      <c r="J2734" s="211"/>
      <c r="K2734" s="288"/>
    </row>
    <row r="2735" spans="4:11" x14ac:dyDescent="0.2">
      <c r="D2735" s="308"/>
      <c r="E2735" s="291"/>
      <c r="F2735" s="291"/>
      <c r="G2735" s="291"/>
      <c r="H2735" s="287"/>
      <c r="I2735" s="211"/>
      <c r="J2735" s="211"/>
      <c r="K2735" s="288"/>
    </row>
    <row r="2736" spans="4:11" x14ac:dyDescent="0.2">
      <c r="D2736" s="308"/>
      <c r="E2736" s="291"/>
      <c r="F2736" s="291"/>
      <c r="G2736" s="291"/>
      <c r="H2736" s="287"/>
      <c r="I2736" s="211"/>
      <c r="J2736" s="211"/>
      <c r="K2736" s="288"/>
    </row>
    <row r="2737" spans="4:11" x14ac:dyDescent="0.2">
      <c r="D2737" s="308"/>
      <c r="E2737" s="291"/>
      <c r="F2737" s="291"/>
      <c r="G2737" s="291"/>
      <c r="H2737" s="287"/>
      <c r="I2737" s="211"/>
      <c r="J2737" s="211"/>
      <c r="K2737" s="288"/>
    </row>
    <row r="2738" spans="4:11" x14ac:dyDescent="0.2">
      <c r="D2738" s="308"/>
      <c r="E2738" s="291"/>
      <c r="F2738" s="291"/>
      <c r="G2738" s="291"/>
      <c r="H2738" s="287"/>
      <c r="I2738" s="211"/>
      <c r="J2738" s="211"/>
      <c r="K2738" s="288"/>
    </row>
    <row r="2739" spans="4:11" x14ac:dyDescent="0.2">
      <c r="D2739" s="308"/>
      <c r="E2739" s="291"/>
      <c r="F2739" s="291"/>
      <c r="G2739" s="291"/>
      <c r="H2739" s="287"/>
      <c r="I2739" s="211"/>
      <c r="J2739" s="211"/>
      <c r="K2739" s="288"/>
    </row>
    <row r="2740" spans="4:11" x14ac:dyDescent="0.2">
      <c r="D2740" s="308"/>
      <c r="E2740" s="291"/>
      <c r="F2740" s="291"/>
      <c r="G2740" s="291"/>
      <c r="H2740" s="287"/>
      <c r="I2740" s="211"/>
      <c r="J2740" s="211"/>
      <c r="K2740" s="288"/>
    </row>
    <row r="2741" spans="4:11" x14ac:dyDescent="0.2">
      <c r="D2741" s="308"/>
      <c r="E2741" s="291"/>
      <c r="F2741" s="291"/>
      <c r="G2741" s="291"/>
      <c r="H2741" s="287"/>
      <c r="I2741" s="211"/>
      <c r="J2741" s="211"/>
      <c r="K2741" s="288"/>
    </row>
    <row r="2742" spans="4:11" x14ac:dyDescent="0.2">
      <c r="D2742" s="308"/>
      <c r="E2742" s="291"/>
      <c r="F2742" s="291"/>
      <c r="G2742" s="291"/>
      <c r="H2742" s="287"/>
      <c r="I2742" s="211"/>
      <c r="J2742" s="211"/>
      <c r="K2742" s="288"/>
    </row>
    <row r="2743" spans="4:11" x14ac:dyDescent="0.2">
      <c r="D2743" s="308"/>
      <c r="E2743" s="291"/>
      <c r="F2743" s="291"/>
      <c r="G2743" s="291"/>
      <c r="H2743" s="287"/>
      <c r="I2743" s="211"/>
      <c r="J2743" s="211"/>
      <c r="K2743" s="288"/>
    </row>
    <row r="2744" spans="4:11" x14ac:dyDescent="0.2">
      <c r="D2744" s="308"/>
      <c r="E2744" s="291"/>
      <c r="F2744" s="291"/>
      <c r="G2744" s="291"/>
      <c r="H2744" s="287"/>
      <c r="I2744" s="211"/>
      <c r="J2744" s="211"/>
      <c r="K2744" s="288"/>
    </row>
    <row r="2745" spans="4:11" x14ac:dyDescent="0.2">
      <c r="D2745" s="308"/>
      <c r="E2745" s="291"/>
      <c r="F2745" s="291"/>
      <c r="G2745" s="291"/>
      <c r="H2745" s="287"/>
      <c r="I2745" s="211"/>
      <c r="J2745" s="211"/>
      <c r="K2745" s="288"/>
    </row>
    <row r="2746" spans="4:11" x14ac:dyDescent="0.2">
      <c r="D2746" s="308"/>
      <c r="E2746" s="291"/>
      <c r="F2746" s="291"/>
      <c r="G2746" s="291"/>
      <c r="H2746" s="287"/>
      <c r="I2746" s="211"/>
      <c r="J2746" s="211"/>
      <c r="K2746" s="288"/>
    </row>
    <row r="2747" spans="4:11" x14ac:dyDescent="0.2">
      <c r="D2747" s="308"/>
      <c r="E2747" s="291"/>
      <c r="F2747" s="291"/>
      <c r="G2747" s="291"/>
      <c r="H2747" s="287"/>
      <c r="I2747" s="211"/>
      <c r="J2747" s="211"/>
      <c r="K2747" s="288"/>
    </row>
    <row r="2748" spans="4:11" x14ac:dyDescent="0.2">
      <c r="D2748" s="308"/>
      <c r="E2748" s="291"/>
      <c r="F2748" s="291"/>
      <c r="G2748" s="291"/>
      <c r="H2748" s="287"/>
      <c r="I2748" s="211"/>
      <c r="J2748" s="211"/>
      <c r="K2748" s="288"/>
    </row>
    <row r="2749" spans="4:11" x14ac:dyDescent="0.2">
      <c r="D2749" s="308"/>
      <c r="E2749" s="291"/>
      <c r="F2749" s="291"/>
      <c r="G2749" s="291"/>
      <c r="H2749" s="287"/>
      <c r="I2749" s="211"/>
      <c r="J2749" s="211"/>
      <c r="K2749" s="288"/>
    </row>
    <row r="2750" spans="4:11" x14ac:dyDescent="0.2">
      <c r="D2750" s="308"/>
      <c r="E2750" s="291"/>
      <c r="F2750" s="291"/>
      <c r="G2750" s="291"/>
      <c r="H2750" s="287"/>
      <c r="I2750" s="211"/>
      <c r="J2750" s="211"/>
      <c r="K2750" s="288"/>
    </row>
    <row r="2751" spans="4:11" x14ac:dyDescent="0.2">
      <c r="D2751" s="308"/>
      <c r="E2751" s="291"/>
      <c r="F2751" s="291"/>
      <c r="G2751" s="291"/>
      <c r="H2751" s="287"/>
      <c r="I2751" s="211"/>
      <c r="J2751" s="211"/>
      <c r="K2751" s="288"/>
    </row>
    <row r="2752" spans="4:11" x14ac:dyDescent="0.2">
      <c r="D2752" s="308"/>
      <c r="E2752" s="291"/>
      <c r="F2752" s="291"/>
      <c r="G2752" s="291"/>
      <c r="H2752" s="287"/>
      <c r="I2752" s="211"/>
      <c r="J2752" s="211"/>
      <c r="K2752" s="288"/>
    </row>
    <row r="2753" spans="4:11" x14ac:dyDescent="0.2">
      <c r="D2753" s="308"/>
      <c r="E2753" s="291"/>
      <c r="F2753" s="291"/>
      <c r="G2753" s="291"/>
      <c r="H2753" s="287"/>
      <c r="I2753" s="211"/>
      <c r="J2753" s="211"/>
      <c r="K2753" s="288"/>
    </row>
    <row r="2754" spans="4:11" x14ac:dyDescent="0.2">
      <c r="D2754" s="308"/>
      <c r="E2754" s="291"/>
      <c r="F2754" s="291"/>
      <c r="G2754" s="291"/>
      <c r="H2754" s="287"/>
      <c r="I2754" s="211"/>
      <c r="J2754" s="211"/>
      <c r="K2754" s="288"/>
    </row>
    <row r="2755" spans="4:11" x14ac:dyDescent="0.2">
      <c r="D2755" s="308"/>
      <c r="E2755" s="291"/>
      <c r="F2755" s="291"/>
      <c r="G2755" s="291"/>
      <c r="H2755" s="287"/>
      <c r="I2755" s="211"/>
      <c r="J2755" s="211"/>
      <c r="K2755" s="288"/>
    </row>
    <row r="2756" spans="4:11" x14ac:dyDescent="0.2">
      <c r="D2756" s="308"/>
      <c r="E2756" s="291"/>
      <c r="F2756" s="291"/>
      <c r="G2756" s="291"/>
      <c r="H2756" s="287"/>
      <c r="I2756" s="211"/>
      <c r="J2756" s="211"/>
      <c r="K2756" s="288"/>
    </row>
    <row r="2757" spans="4:11" x14ac:dyDescent="0.2">
      <c r="D2757" s="308"/>
      <c r="E2757" s="291"/>
      <c r="F2757" s="291"/>
      <c r="G2757" s="291"/>
      <c r="H2757" s="287"/>
      <c r="I2757" s="211"/>
      <c r="J2757" s="211"/>
      <c r="K2757" s="288"/>
    </row>
    <row r="2758" spans="4:11" x14ac:dyDescent="0.2">
      <c r="D2758" s="308"/>
      <c r="E2758" s="291"/>
      <c r="F2758" s="291"/>
      <c r="G2758" s="291"/>
      <c r="H2758" s="287"/>
      <c r="I2758" s="211"/>
      <c r="J2758" s="211"/>
      <c r="K2758" s="288"/>
    </row>
    <row r="2759" spans="4:11" x14ac:dyDescent="0.2">
      <c r="D2759" s="308"/>
      <c r="E2759" s="291"/>
      <c r="F2759" s="291"/>
      <c r="G2759" s="291"/>
      <c r="H2759" s="287"/>
      <c r="I2759" s="211"/>
      <c r="J2759" s="211"/>
      <c r="K2759" s="288"/>
    </row>
    <row r="2760" spans="4:11" x14ac:dyDescent="0.2">
      <c r="D2760" s="308"/>
      <c r="E2760" s="291"/>
      <c r="F2760" s="291"/>
      <c r="G2760" s="291"/>
      <c r="H2760" s="287"/>
      <c r="I2760" s="211"/>
      <c r="J2760" s="211"/>
      <c r="K2760" s="288"/>
    </row>
    <row r="2761" spans="4:11" x14ac:dyDescent="0.2">
      <c r="D2761" s="308"/>
      <c r="E2761" s="291"/>
      <c r="F2761" s="291"/>
      <c r="G2761" s="291"/>
      <c r="H2761" s="287"/>
      <c r="I2761" s="211"/>
      <c r="J2761" s="211"/>
      <c r="K2761" s="288"/>
    </row>
    <row r="2762" spans="4:11" x14ac:dyDescent="0.2">
      <c r="D2762" s="308"/>
      <c r="E2762" s="291"/>
      <c r="F2762" s="291"/>
      <c r="G2762" s="291"/>
      <c r="H2762" s="287"/>
      <c r="I2762" s="211"/>
      <c r="J2762" s="211"/>
      <c r="K2762" s="288"/>
    </row>
    <row r="2763" spans="4:11" x14ac:dyDescent="0.2">
      <c r="D2763" s="308"/>
      <c r="E2763" s="291"/>
      <c r="F2763" s="291"/>
      <c r="G2763" s="291"/>
      <c r="H2763" s="287"/>
      <c r="I2763" s="211"/>
      <c r="J2763" s="211"/>
      <c r="K2763" s="288"/>
    </row>
    <row r="2764" spans="4:11" x14ac:dyDescent="0.2">
      <c r="D2764" s="308"/>
      <c r="E2764" s="291"/>
      <c r="F2764" s="291"/>
      <c r="G2764" s="291"/>
      <c r="H2764" s="287"/>
      <c r="I2764" s="211"/>
      <c r="J2764" s="211"/>
      <c r="K2764" s="288"/>
    </row>
    <row r="2765" spans="4:11" x14ac:dyDescent="0.2">
      <c r="D2765" s="308"/>
      <c r="E2765" s="291"/>
      <c r="F2765" s="291"/>
      <c r="G2765" s="291"/>
      <c r="H2765" s="287"/>
      <c r="I2765" s="211"/>
      <c r="J2765" s="211"/>
      <c r="K2765" s="288"/>
    </row>
    <row r="2766" spans="4:11" x14ac:dyDescent="0.2">
      <c r="D2766" s="308"/>
      <c r="E2766" s="291"/>
      <c r="F2766" s="291"/>
      <c r="G2766" s="291"/>
      <c r="H2766" s="287"/>
      <c r="I2766" s="211"/>
      <c r="J2766" s="211"/>
      <c r="K2766" s="288"/>
    </row>
    <row r="2767" spans="4:11" x14ac:dyDescent="0.2">
      <c r="D2767" s="308"/>
      <c r="E2767" s="291"/>
      <c r="F2767" s="291"/>
      <c r="G2767" s="291"/>
      <c r="H2767" s="287"/>
      <c r="I2767" s="211"/>
      <c r="J2767" s="211"/>
      <c r="K2767" s="288"/>
    </row>
    <row r="2768" spans="4:11" x14ac:dyDescent="0.2">
      <c r="D2768" s="308"/>
      <c r="E2768" s="291"/>
      <c r="F2768" s="291"/>
      <c r="G2768" s="291"/>
      <c r="H2768" s="287"/>
      <c r="I2768" s="211"/>
      <c r="J2768" s="211"/>
      <c r="K2768" s="288"/>
    </row>
    <row r="2769" spans="4:11" x14ac:dyDescent="0.2">
      <c r="D2769" s="308"/>
      <c r="E2769" s="291"/>
      <c r="F2769" s="291"/>
      <c r="G2769" s="291"/>
      <c r="H2769" s="287"/>
      <c r="I2769" s="211"/>
      <c r="J2769" s="211"/>
      <c r="K2769" s="288"/>
    </row>
    <row r="2770" spans="4:11" x14ac:dyDescent="0.2">
      <c r="D2770" s="308"/>
      <c r="E2770" s="291"/>
      <c r="F2770" s="291"/>
      <c r="G2770" s="291"/>
      <c r="H2770" s="287"/>
      <c r="I2770" s="211"/>
      <c r="J2770" s="211"/>
      <c r="K2770" s="288"/>
    </row>
    <row r="2771" spans="4:11" x14ac:dyDescent="0.2">
      <c r="D2771" s="308"/>
      <c r="E2771" s="291"/>
      <c r="F2771" s="291"/>
      <c r="G2771" s="291"/>
      <c r="H2771" s="287"/>
      <c r="I2771" s="211"/>
      <c r="J2771" s="211"/>
      <c r="K2771" s="288"/>
    </row>
    <row r="2772" spans="4:11" x14ac:dyDescent="0.2">
      <c r="D2772" s="308"/>
      <c r="E2772" s="291"/>
      <c r="F2772" s="291"/>
      <c r="G2772" s="291"/>
      <c r="H2772" s="287"/>
      <c r="I2772" s="211"/>
      <c r="J2772" s="211"/>
      <c r="K2772" s="288"/>
    </row>
    <row r="2773" spans="4:11" x14ac:dyDescent="0.2">
      <c r="D2773" s="308"/>
      <c r="E2773" s="291"/>
      <c r="F2773" s="291"/>
      <c r="G2773" s="291"/>
      <c r="H2773" s="287"/>
      <c r="I2773" s="211"/>
      <c r="J2773" s="211"/>
      <c r="K2773" s="288"/>
    </row>
    <row r="2774" spans="4:11" x14ac:dyDescent="0.2">
      <c r="D2774" s="308"/>
      <c r="E2774" s="291"/>
      <c r="F2774" s="291"/>
      <c r="G2774" s="291"/>
      <c r="H2774" s="287"/>
      <c r="I2774" s="211"/>
      <c r="J2774" s="211"/>
      <c r="K2774" s="288"/>
    </row>
    <row r="2775" spans="4:11" x14ac:dyDescent="0.2">
      <c r="D2775" s="308"/>
      <c r="E2775" s="291"/>
      <c r="F2775" s="291"/>
      <c r="G2775" s="291"/>
      <c r="H2775" s="287"/>
      <c r="I2775" s="211"/>
      <c r="J2775" s="211"/>
      <c r="K2775" s="288"/>
    </row>
    <row r="2776" spans="4:11" x14ac:dyDescent="0.2">
      <c r="D2776" s="308"/>
      <c r="E2776" s="291"/>
      <c r="F2776" s="291"/>
      <c r="G2776" s="291"/>
      <c r="H2776" s="287"/>
      <c r="I2776" s="211"/>
      <c r="J2776" s="211"/>
      <c r="K2776" s="288"/>
    </row>
    <row r="2777" spans="4:11" x14ac:dyDescent="0.2">
      <c r="D2777" s="308"/>
      <c r="E2777" s="291"/>
      <c r="F2777" s="291"/>
      <c r="G2777" s="291"/>
      <c r="H2777" s="287"/>
      <c r="I2777" s="211"/>
      <c r="J2777" s="211"/>
      <c r="K2777" s="288"/>
    </row>
    <row r="2778" spans="4:11" x14ac:dyDescent="0.2">
      <c r="D2778" s="308"/>
      <c r="E2778" s="291"/>
      <c r="F2778" s="291"/>
      <c r="G2778" s="291"/>
      <c r="H2778" s="287"/>
      <c r="I2778" s="211"/>
      <c r="J2778" s="211"/>
      <c r="K2778" s="288"/>
    </row>
    <row r="2779" spans="4:11" x14ac:dyDescent="0.2">
      <c r="D2779" s="308"/>
      <c r="E2779" s="291"/>
      <c r="F2779" s="291"/>
      <c r="G2779" s="291"/>
      <c r="H2779" s="287"/>
      <c r="I2779" s="211"/>
      <c r="J2779" s="211"/>
      <c r="K2779" s="288"/>
    </row>
    <row r="2780" spans="4:11" x14ac:dyDescent="0.2">
      <c r="D2780" s="308"/>
      <c r="E2780" s="291"/>
      <c r="F2780" s="291"/>
      <c r="G2780" s="291"/>
      <c r="H2780" s="287"/>
      <c r="I2780" s="211"/>
      <c r="J2780" s="211"/>
      <c r="K2780" s="288"/>
    </row>
    <row r="2781" spans="4:11" x14ac:dyDescent="0.2">
      <c r="D2781" s="308"/>
      <c r="E2781" s="291"/>
      <c r="F2781" s="291"/>
      <c r="G2781" s="291"/>
      <c r="H2781" s="287"/>
      <c r="I2781" s="211"/>
      <c r="J2781" s="211"/>
      <c r="K2781" s="288"/>
    </row>
    <row r="2782" spans="4:11" x14ac:dyDescent="0.2">
      <c r="D2782" s="308"/>
      <c r="E2782" s="291"/>
      <c r="F2782" s="291"/>
      <c r="G2782" s="291"/>
      <c r="H2782" s="287"/>
      <c r="I2782" s="211"/>
      <c r="J2782" s="211"/>
      <c r="K2782" s="288"/>
    </row>
    <row r="2783" spans="4:11" x14ac:dyDescent="0.2">
      <c r="D2783" s="308"/>
      <c r="E2783" s="291"/>
      <c r="F2783" s="291"/>
      <c r="G2783" s="291"/>
      <c r="H2783" s="287"/>
      <c r="I2783" s="211"/>
      <c r="J2783" s="211"/>
      <c r="K2783" s="288"/>
    </row>
    <row r="2784" spans="4:11" x14ac:dyDescent="0.2">
      <c r="D2784" s="308"/>
      <c r="E2784" s="291"/>
      <c r="F2784" s="291"/>
      <c r="G2784" s="291"/>
      <c r="H2784" s="287"/>
      <c r="I2784" s="211"/>
      <c r="J2784" s="211"/>
      <c r="K2784" s="288"/>
    </row>
    <row r="2785" spans="4:11" x14ac:dyDescent="0.2">
      <c r="D2785" s="308"/>
      <c r="E2785" s="291"/>
      <c r="F2785" s="291"/>
      <c r="G2785" s="291"/>
      <c r="H2785" s="287"/>
      <c r="I2785" s="211"/>
      <c r="J2785" s="211"/>
      <c r="K2785" s="288"/>
    </row>
    <row r="2786" spans="4:11" x14ac:dyDescent="0.2">
      <c r="D2786" s="308"/>
      <c r="E2786" s="291"/>
      <c r="F2786" s="291"/>
      <c r="G2786" s="291"/>
      <c r="H2786" s="287"/>
      <c r="I2786" s="211"/>
      <c r="J2786" s="211"/>
      <c r="K2786" s="288"/>
    </row>
    <row r="2787" spans="4:11" x14ac:dyDescent="0.2">
      <c r="D2787" s="308"/>
      <c r="E2787" s="291"/>
      <c r="F2787" s="291"/>
      <c r="G2787" s="291"/>
      <c r="H2787" s="287"/>
      <c r="I2787" s="211"/>
      <c r="J2787" s="211"/>
      <c r="K2787" s="288"/>
    </row>
    <row r="2788" spans="4:11" x14ac:dyDescent="0.2">
      <c r="D2788" s="308"/>
      <c r="E2788" s="291"/>
      <c r="F2788" s="291"/>
      <c r="G2788" s="291"/>
      <c r="H2788" s="287"/>
      <c r="I2788" s="211"/>
      <c r="J2788" s="211"/>
      <c r="K2788" s="288"/>
    </row>
    <row r="2789" spans="4:11" x14ac:dyDescent="0.2">
      <c r="D2789" s="308"/>
      <c r="E2789" s="291"/>
      <c r="F2789" s="291"/>
      <c r="G2789" s="291"/>
      <c r="H2789" s="287"/>
      <c r="I2789" s="211"/>
      <c r="J2789" s="211"/>
      <c r="K2789" s="288"/>
    </row>
    <row r="2790" spans="4:11" x14ac:dyDescent="0.2">
      <c r="D2790" s="308"/>
      <c r="E2790" s="291"/>
      <c r="F2790" s="291"/>
      <c r="G2790" s="291"/>
      <c r="H2790" s="287"/>
      <c r="I2790" s="211"/>
      <c r="J2790" s="211"/>
      <c r="K2790" s="288"/>
    </row>
    <row r="2791" spans="4:11" x14ac:dyDescent="0.2">
      <c r="D2791" s="308"/>
      <c r="E2791" s="291"/>
      <c r="F2791" s="291"/>
      <c r="G2791" s="291"/>
      <c r="H2791" s="287"/>
      <c r="I2791" s="211"/>
      <c r="J2791" s="211"/>
      <c r="K2791" s="288"/>
    </row>
    <row r="2792" spans="4:11" x14ac:dyDescent="0.2">
      <c r="D2792" s="308"/>
      <c r="E2792" s="291"/>
      <c r="F2792" s="291"/>
      <c r="G2792" s="291"/>
      <c r="H2792" s="287"/>
      <c r="I2792" s="211"/>
      <c r="J2792" s="211"/>
      <c r="K2792" s="288"/>
    </row>
    <row r="2793" spans="4:11" x14ac:dyDescent="0.2">
      <c r="D2793" s="308"/>
      <c r="E2793" s="291"/>
      <c r="F2793" s="291"/>
      <c r="G2793" s="291"/>
      <c r="H2793" s="287"/>
      <c r="I2793" s="211"/>
      <c r="J2793" s="211"/>
      <c r="K2793" s="288"/>
    </row>
    <row r="2794" spans="4:11" x14ac:dyDescent="0.2">
      <c r="D2794" s="308"/>
      <c r="E2794" s="291"/>
      <c r="F2794" s="291"/>
      <c r="G2794" s="291"/>
      <c r="H2794" s="287"/>
      <c r="I2794" s="211"/>
      <c r="J2794" s="211"/>
      <c r="K2794" s="288"/>
    </row>
    <row r="2795" spans="4:11" x14ac:dyDescent="0.2">
      <c r="D2795" s="308"/>
      <c r="E2795" s="291"/>
      <c r="F2795" s="291"/>
      <c r="G2795" s="291"/>
      <c r="H2795" s="287"/>
      <c r="I2795" s="211"/>
      <c r="J2795" s="211"/>
      <c r="K2795" s="288"/>
    </row>
    <row r="2796" spans="4:11" x14ac:dyDescent="0.2">
      <c r="D2796" s="308"/>
      <c r="E2796" s="291"/>
      <c r="F2796" s="291"/>
      <c r="G2796" s="291"/>
      <c r="H2796" s="287"/>
      <c r="I2796" s="211"/>
      <c r="J2796" s="211"/>
      <c r="K2796" s="288"/>
    </row>
    <row r="2797" spans="4:11" x14ac:dyDescent="0.2">
      <c r="D2797" s="308"/>
      <c r="E2797" s="291"/>
      <c r="F2797" s="291"/>
      <c r="G2797" s="291"/>
      <c r="H2797" s="287"/>
      <c r="I2797" s="211"/>
      <c r="J2797" s="211"/>
      <c r="K2797" s="288"/>
    </row>
    <row r="2798" spans="4:11" x14ac:dyDescent="0.2">
      <c r="D2798" s="308"/>
      <c r="E2798" s="291"/>
      <c r="F2798" s="291"/>
      <c r="G2798" s="291"/>
      <c r="H2798" s="287"/>
      <c r="I2798" s="211"/>
      <c r="J2798" s="211"/>
      <c r="K2798" s="288"/>
    </row>
    <row r="2799" spans="4:11" x14ac:dyDescent="0.2">
      <c r="D2799" s="308"/>
      <c r="E2799" s="291"/>
      <c r="F2799" s="291"/>
      <c r="G2799" s="291"/>
      <c r="H2799" s="287"/>
      <c r="I2799" s="211"/>
      <c r="J2799" s="211"/>
      <c r="K2799" s="288"/>
    </row>
    <row r="2800" spans="4:11" x14ac:dyDescent="0.2">
      <c r="D2800" s="308"/>
      <c r="E2800" s="291"/>
      <c r="F2800" s="291"/>
      <c r="G2800" s="291"/>
      <c r="H2800" s="287"/>
      <c r="I2800" s="211"/>
      <c r="J2800" s="211"/>
      <c r="K2800" s="288"/>
    </row>
    <row r="2801" spans="4:11" x14ac:dyDescent="0.2">
      <c r="D2801" s="308"/>
      <c r="E2801" s="291"/>
      <c r="F2801" s="291"/>
      <c r="G2801" s="291"/>
      <c r="H2801" s="287"/>
      <c r="I2801" s="211"/>
      <c r="J2801" s="211"/>
      <c r="K2801" s="288"/>
    </row>
    <row r="2802" spans="4:11" x14ac:dyDescent="0.2">
      <c r="D2802" s="308"/>
      <c r="E2802" s="291"/>
      <c r="F2802" s="291"/>
      <c r="G2802" s="291"/>
      <c r="H2802" s="287"/>
      <c r="I2802" s="211"/>
      <c r="J2802" s="211"/>
      <c r="K2802" s="288"/>
    </row>
    <row r="2803" spans="4:11" x14ac:dyDescent="0.2">
      <c r="D2803" s="308"/>
      <c r="E2803" s="291"/>
      <c r="F2803" s="291"/>
      <c r="G2803" s="291"/>
      <c r="H2803" s="287"/>
      <c r="I2803" s="211"/>
      <c r="J2803" s="211"/>
      <c r="K2803" s="288"/>
    </row>
    <row r="2804" spans="4:11" x14ac:dyDescent="0.2">
      <c r="D2804" s="308"/>
      <c r="E2804" s="291"/>
      <c r="F2804" s="291"/>
      <c r="G2804" s="291"/>
      <c r="H2804" s="287"/>
      <c r="I2804" s="211"/>
      <c r="J2804" s="211"/>
      <c r="K2804" s="288"/>
    </row>
    <row r="2805" spans="4:11" x14ac:dyDescent="0.2">
      <c r="D2805" s="308"/>
      <c r="E2805" s="291"/>
      <c r="F2805" s="291"/>
      <c r="G2805" s="291"/>
      <c r="H2805" s="287"/>
      <c r="I2805" s="211"/>
      <c r="J2805" s="211"/>
      <c r="K2805" s="288"/>
    </row>
    <row r="2806" spans="4:11" x14ac:dyDescent="0.2">
      <c r="D2806" s="308"/>
      <c r="E2806" s="291"/>
      <c r="F2806" s="291"/>
      <c r="G2806" s="291"/>
      <c r="H2806" s="287"/>
      <c r="I2806" s="211"/>
      <c r="J2806" s="211"/>
      <c r="K2806" s="288"/>
    </row>
    <row r="2807" spans="4:11" x14ac:dyDescent="0.2">
      <c r="D2807" s="308"/>
      <c r="E2807" s="291"/>
      <c r="F2807" s="291"/>
      <c r="G2807" s="291"/>
      <c r="H2807" s="287"/>
      <c r="I2807" s="211"/>
      <c r="J2807" s="211"/>
      <c r="K2807" s="288"/>
    </row>
    <row r="2808" spans="4:11" x14ac:dyDescent="0.2">
      <c r="D2808" s="308"/>
      <c r="E2808" s="291"/>
      <c r="F2808" s="291"/>
      <c r="G2808" s="291"/>
      <c r="H2808" s="287"/>
      <c r="I2808" s="211"/>
      <c r="J2808" s="211"/>
      <c r="K2808" s="288"/>
    </row>
    <row r="2809" spans="4:11" x14ac:dyDescent="0.2">
      <c r="D2809" s="308"/>
      <c r="E2809" s="291"/>
      <c r="F2809" s="291"/>
      <c r="G2809" s="291"/>
      <c r="H2809" s="287"/>
      <c r="I2809" s="211"/>
      <c r="J2809" s="211"/>
      <c r="K2809" s="288"/>
    </row>
    <row r="2810" spans="4:11" x14ac:dyDescent="0.2">
      <c r="D2810" s="308"/>
      <c r="E2810" s="291"/>
      <c r="F2810" s="291"/>
      <c r="G2810" s="291"/>
      <c r="H2810" s="287"/>
      <c r="I2810" s="211"/>
      <c r="J2810" s="211"/>
      <c r="K2810" s="288"/>
    </row>
    <row r="2811" spans="4:11" x14ac:dyDescent="0.2">
      <c r="D2811" s="308"/>
      <c r="E2811" s="291"/>
      <c r="F2811" s="291"/>
      <c r="G2811" s="291"/>
      <c r="H2811" s="287"/>
      <c r="I2811" s="211"/>
      <c r="J2811" s="211"/>
      <c r="K2811" s="288"/>
    </row>
    <row r="2812" spans="4:11" x14ac:dyDescent="0.2">
      <c r="D2812" s="308"/>
      <c r="E2812" s="291"/>
      <c r="F2812" s="291"/>
      <c r="G2812" s="291"/>
      <c r="H2812" s="287"/>
      <c r="I2812" s="211"/>
      <c r="J2812" s="211"/>
      <c r="K2812" s="288"/>
    </row>
    <row r="2813" spans="4:11" x14ac:dyDescent="0.2">
      <c r="D2813" s="308"/>
      <c r="E2813" s="291"/>
      <c r="F2813" s="291"/>
      <c r="G2813" s="291"/>
      <c r="H2813" s="287"/>
      <c r="I2813" s="211"/>
      <c r="J2813" s="211"/>
      <c r="K2813" s="288"/>
    </row>
    <row r="2814" spans="4:11" x14ac:dyDescent="0.2">
      <c r="D2814" s="308"/>
      <c r="E2814" s="291"/>
      <c r="F2814" s="291"/>
      <c r="G2814" s="291"/>
      <c r="H2814" s="287"/>
      <c r="I2814" s="211"/>
      <c r="J2814" s="211"/>
      <c r="K2814" s="288"/>
    </row>
    <row r="2815" spans="4:11" x14ac:dyDescent="0.2">
      <c r="D2815" s="308"/>
      <c r="E2815" s="291"/>
      <c r="F2815" s="291"/>
      <c r="G2815" s="291"/>
      <c r="H2815" s="287"/>
      <c r="I2815" s="211"/>
      <c r="J2815" s="211"/>
      <c r="K2815" s="288"/>
    </row>
    <row r="2816" spans="4:11" x14ac:dyDescent="0.2">
      <c r="D2816" s="308"/>
      <c r="E2816" s="291"/>
      <c r="F2816" s="291"/>
      <c r="G2816" s="291"/>
      <c r="H2816" s="287"/>
      <c r="I2816" s="211"/>
      <c r="J2816" s="211"/>
      <c r="K2816" s="288"/>
    </row>
    <row r="2817" spans="4:11" x14ac:dyDescent="0.2">
      <c r="D2817" s="308"/>
      <c r="E2817" s="291"/>
      <c r="F2817" s="291"/>
      <c r="G2817" s="291"/>
      <c r="H2817" s="287"/>
      <c r="I2817" s="211"/>
      <c r="J2817" s="211"/>
      <c r="K2817" s="288"/>
    </row>
    <row r="2818" spans="4:11" x14ac:dyDescent="0.2">
      <c r="D2818" s="308"/>
      <c r="E2818" s="291"/>
      <c r="F2818" s="291"/>
      <c r="G2818" s="291"/>
      <c r="H2818" s="287"/>
      <c r="I2818" s="211"/>
      <c r="J2818" s="211"/>
      <c r="K2818" s="288"/>
    </row>
    <row r="2819" spans="4:11" x14ac:dyDescent="0.2">
      <c r="D2819" s="308"/>
      <c r="E2819" s="291"/>
      <c r="F2819" s="291"/>
      <c r="G2819" s="291"/>
      <c r="H2819" s="287"/>
      <c r="I2819" s="211"/>
      <c r="J2819" s="211"/>
      <c r="K2819" s="288"/>
    </row>
    <row r="2820" spans="4:11" x14ac:dyDescent="0.2">
      <c r="D2820" s="308"/>
      <c r="E2820" s="291"/>
      <c r="F2820" s="291"/>
      <c r="G2820" s="291"/>
      <c r="H2820" s="287"/>
      <c r="I2820" s="211"/>
      <c r="J2820" s="211"/>
      <c r="K2820" s="288"/>
    </row>
    <row r="2821" spans="4:11" x14ac:dyDescent="0.2">
      <c r="D2821" s="308"/>
      <c r="E2821" s="291"/>
      <c r="F2821" s="291"/>
      <c r="G2821" s="291"/>
      <c r="H2821" s="287"/>
      <c r="I2821" s="211"/>
      <c r="J2821" s="211"/>
      <c r="K2821" s="288"/>
    </row>
    <row r="2822" spans="4:11" x14ac:dyDescent="0.2">
      <c r="D2822" s="308"/>
      <c r="E2822" s="291"/>
      <c r="F2822" s="291"/>
      <c r="G2822" s="291"/>
      <c r="H2822" s="287"/>
      <c r="I2822" s="211"/>
      <c r="J2822" s="211"/>
      <c r="K2822" s="288"/>
    </row>
    <row r="2823" spans="4:11" x14ac:dyDescent="0.2">
      <c r="D2823" s="308"/>
      <c r="E2823" s="291"/>
      <c r="F2823" s="291"/>
      <c r="G2823" s="291"/>
      <c r="H2823" s="287"/>
      <c r="I2823" s="211"/>
      <c r="J2823" s="211"/>
      <c r="K2823" s="288"/>
    </row>
    <row r="2824" spans="4:11" x14ac:dyDescent="0.2">
      <c r="D2824" s="308"/>
      <c r="E2824" s="291"/>
      <c r="F2824" s="291"/>
      <c r="G2824" s="291"/>
      <c r="H2824" s="287"/>
      <c r="I2824" s="211"/>
      <c r="J2824" s="211"/>
      <c r="K2824" s="288"/>
    </row>
    <row r="2825" spans="4:11" x14ac:dyDescent="0.2">
      <c r="D2825" s="308"/>
      <c r="E2825" s="291"/>
      <c r="F2825" s="291"/>
      <c r="G2825" s="291"/>
      <c r="H2825" s="287"/>
      <c r="I2825" s="211"/>
      <c r="J2825" s="211"/>
      <c r="K2825" s="288"/>
    </row>
    <row r="2826" spans="4:11" x14ac:dyDescent="0.2">
      <c r="D2826" s="308"/>
      <c r="E2826" s="291"/>
      <c r="F2826" s="291"/>
      <c r="G2826" s="291"/>
      <c r="H2826" s="287"/>
      <c r="I2826" s="211"/>
      <c r="J2826" s="211"/>
      <c r="K2826" s="288"/>
    </row>
    <row r="2827" spans="4:11" x14ac:dyDescent="0.2">
      <c r="D2827" s="308"/>
      <c r="E2827" s="291"/>
      <c r="F2827" s="291"/>
      <c r="G2827" s="291"/>
      <c r="H2827" s="287"/>
      <c r="I2827" s="211"/>
      <c r="J2827" s="211"/>
      <c r="K2827" s="288"/>
    </row>
    <row r="2828" spans="4:11" x14ac:dyDescent="0.2">
      <c r="D2828" s="308"/>
      <c r="E2828" s="291"/>
      <c r="F2828" s="291"/>
      <c r="G2828" s="291"/>
      <c r="H2828" s="287"/>
      <c r="I2828" s="211"/>
      <c r="J2828" s="211"/>
      <c r="K2828" s="288"/>
    </row>
    <row r="2829" spans="4:11" x14ac:dyDescent="0.2">
      <c r="D2829" s="308"/>
      <c r="E2829" s="291"/>
      <c r="F2829" s="291"/>
      <c r="G2829" s="291"/>
      <c r="H2829" s="287"/>
      <c r="I2829" s="211"/>
      <c r="J2829" s="211"/>
      <c r="K2829" s="288"/>
    </row>
    <row r="2830" spans="4:11" x14ac:dyDescent="0.2">
      <c r="D2830" s="308"/>
      <c r="E2830" s="291"/>
      <c r="F2830" s="291"/>
      <c r="G2830" s="291"/>
      <c r="H2830" s="287"/>
      <c r="I2830" s="211"/>
      <c r="J2830" s="211"/>
      <c r="K2830" s="288"/>
    </row>
    <row r="2831" spans="4:11" x14ac:dyDescent="0.2">
      <c r="D2831" s="308"/>
      <c r="E2831" s="291"/>
      <c r="F2831" s="291"/>
      <c r="G2831" s="291"/>
      <c r="H2831" s="287"/>
      <c r="I2831" s="211"/>
      <c r="J2831" s="211"/>
      <c r="K2831" s="288"/>
    </row>
    <row r="2832" spans="4:11" x14ac:dyDescent="0.2">
      <c r="D2832" s="308"/>
      <c r="E2832" s="291"/>
      <c r="F2832" s="291"/>
      <c r="G2832" s="291"/>
      <c r="H2832" s="287"/>
      <c r="I2832" s="211"/>
      <c r="J2832" s="211"/>
      <c r="K2832" s="288"/>
    </row>
    <row r="2833" spans="4:11" x14ac:dyDescent="0.2">
      <c r="D2833" s="308"/>
      <c r="E2833" s="291"/>
      <c r="F2833" s="291"/>
      <c r="G2833" s="291"/>
      <c r="H2833" s="287"/>
      <c r="I2833" s="211"/>
      <c r="J2833" s="211"/>
      <c r="K2833" s="288"/>
    </row>
    <row r="2834" spans="4:11" x14ac:dyDescent="0.2">
      <c r="D2834" s="308"/>
      <c r="E2834" s="291"/>
      <c r="F2834" s="291"/>
      <c r="G2834" s="291"/>
      <c r="H2834" s="287"/>
      <c r="I2834" s="211"/>
      <c r="J2834" s="211"/>
      <c r="K2834" s="288"/>
    </row>
    <row r="2835" spans="4:11" x14ac:dyDescent="0.2">
      <c r="D2835" s="308"/>
      <c r="E2835" s="291"/>
      <c r="F2835" s="291"/>
      <c r="G2835" s="291"/>
      <c r="H2835" s="287"/>
      <c r="I2835" s="211"/>
      <c r="J2835" s="211"/>
      <c r="K2835" s="288"/>
    </row>
    <row r="2836" spans="4:11" x14ac:dyDescent="0.2">
      <c r="D2836" s="308"/>
      <c r="E2836" s="291"/>
      <c r="F2836" s="291"/>
      <c r="G2836" s="291"/>
      <c r="H2836" s="287"/>
      <c r="I2836" s="211"/>
      <c r="J2836" s="211"/>
      <c r="K2836" s="288"/>
    </row>
    <row r="2837" spans="4:11" x14ac:dyDescent="0.2">
      <c r="D2837" s="308"/>
      <c r="E2837" s="291"/>
      <c r="F2837" s="291"/>
      <c r="G2837" s="291"/>
      <c r="H2837" s="287"/>
      <c r="I2837" s="211"/>
      <c r="J2837" s="211"/>
      <c r="K2837" s="288"/>
    </row>
    <row r="2838" spans="4:11" x14ac:dyDescent="0.2">
      <c r="D2838" s="308"/>
      <c r="E2838" s="291"/>
      <c r="F2838" s="291"/>
      <c r="G2838" s="291"/>
      <c r="H2838" s="287"/>
      <c r="I2838" s="211"/>
      <c r="J2838" s="211"/>
      <c r="K2838" s="288"/>
    </row>
    <row r="2839" spans="4:11" x14ac:dyDescent="0.2">
      <c r="D2839" s="308"/>
      <c r="E2839" s="291"/>
      <c r="F2839" s="291"/>
      <c r="G2839" s="291"/>
      <c r="H2839" s="287"/>
      <c r="I2839" s="211"/>
      <c r="J2839" s="211"/>
      <c r="K2839" s="288"/>
    </row>
    <row r="2840" spans="4:11" x14ac:dyDescent="0.2">
      <c r="D2840" s="308"/>
      <c r="E2840" s="291"/>
      <c r="F2840" s="291"/>
      <c r="G2840" s="291"/>
      <c r="H2840" s="287"/>
      <c r="I2840" s="211"/>
      <c r="J2840" s="211"/>
      <c r="K2840" s="288"/>
    </row>
    <row r="2841" spans="4:11" x14ac:dyDescent="0.2">
      <c r="D2841" s="308"/>
      <c r="E2841" s="291"/>
      <c r="F2841" s="291"/>
      <c r="G2841" s="291"/>
      <c r="H2841" s="287"/>
      <c r="I2841" s="211"/>
      <c r="J2841" s="211"/>
      <c r="K2841" s="288"/>
    </row>
    <row r="2842" spans="4:11" x14ac:dyDescent="0.2">
      <c r="D2842" s="308"/>
      <c r="E2842" s="291"/>
      <c r="F2842" s="291"/>
      <c r="G2842" s="291"/>
      <c r="H2842" s="287"/>
      <c r="I2842" s="211"/>
      <c r="J2842" s="211"/>
      <c r="K2842" s="288"/>
    </row>
    <row r="2843" spans="4:11" x14ac:dyDescent="0.2">
      <c r="D2843" s="308"/>
      <c r="E2843" s="291"/>
      <c r="F2843" s="291"/>
      <c r="G2843" s="291"/>
      <c r="H2843" s="287"/>
      <c r="I2843" s="211"/>
      <c r="J2843" s="211"/>
      <c r="K2843" s="288"/>
    </row>
    <row r="2844" spans="4:11" x14ac:dyDescent="0.2">
      <c r="D2844" s="308"/>
      <c r="E2844" s="291"/>
      <c r="F2844" s="291"/>
      <c r="G2844" s="291"/>
      <c r="H2844" s="287"/>
      <c r="I2844" s="211"/>
      <c r="J2844" s="211"/>
      <c r="K2844" s="288"/>
    </row>
    <row r="2845" spans="4:11" x14ac:dyDescent="0.2">
      <c r="D2845" s="308"/>
      <c r="E2845" s="291"/>
      <c r="F2845" s="291"/>
      <c r="G2845" s="291"/>
      <c r="H2845" s="287"/>
      <c r="I2845" s="211"/>
      <c r="J2845" s="211"/>
      <c r="K2845" s="288"/>
    </row>
    <row r="2846" spans="4:11" x14ac:dyDescent="0.2">
      <c r="D2846" s="308"/>
      <c r="E2846" s="291"/>
      <c r="F2846" s="291"/>
      <c r="G2846" s="291"/>
      <c r="H2846" s="287"/>
      <c r="I2846" s="211"/>
      <c r="J2846" s="211"/>
      <c r="K2846" s="288"/>
    </row>
    <row r="2847" spans="4:11" x14ac:dyDescent="0.2">
      <c r="D2847" s="308"/>
      <c r="E2847" s="291"/>
      <c r="F2847" s="291"/>
      <c r="G2847" s="291"/>
      <c r="H2847" s="287"/>
      <c r="I2847" s="211"/>
      <c r="J2847" s="211"/>
      <c r="K2847" s="288"/>
    </row>
    <row r="2848" spans="4:11" x14ac:dyDescent="0.2">
      <c r="D2848" s="308"/>
      <c r="E2848" s="291"/>
      <c r="F2848" s="291"/>
      <c r="G2848" s="291"/>
      <c r="H2848" s="287"/>
      <c r="I2848" s="211"/>
      <c r="J2848" s="211"/>
      <c r="K2848" s="288"/>
    </row>
    <row r="2849" spans="4:11" x14ac:dyDescent="0.2">
      <c r="D2849" s="308"/>
      <c r="E2849" s="291"/>
      <c r="F2849" s="291"/>
      <c r="G2849" s="291"/>
      <c r="H2849" s="287"/>
      <c r="I2849" s="211"/>
      <c r="J2849" s="211"/>
      <c r="K2849" s="288"/>
    </row>
    <row r="2850" spans="4:11" x14ac:dyDescent="0.2">
      <c r="D2850" s="308"/>
      <c r="E2850" s="291"/>
      <c r="F2850" s="291"/>
      <c r="G2850" s="291"/>
      <c r="H2850" s="287"/>
      <c r="I2850" s="211"/>
      <c r="J2850" s="211"/>
      <c r="K2850" s="288"/>
    </row>
    <row r="2851" spans="4:11" x14ac:dyDescent="0.2">
      <c r="D2851" s="308"/>
      <c r="E2851" s="291"/>
      <c r="F2851" s="291"/>
      <c r="G2851" s="291"/>
      <c r="H2851" s="287"/>
      <c r="I2851" s="211"/>
      <c r="J2851" s="211"/>
      <c r="K2851" s="288"/>
    </row>
    <row r="2852" spans="4:11" x14ac:dyDescent="0.2">
      <c r="D2852" s="308"/>
      <c r="E2852" s="291"/>
      <c r="F2852" s="291"/>
      <c r="G2852" s="291"/>
      <c r="H2852" s="287"/>
      <c r="I2852" s="211"/>
      <c r="J2852" s="211"/>
      <c r="K2852" s="288"/>
    </row>
    <row r="2853" spans="4:11" x14ac:dyDescent="0.2">
      <c r="D2853" s="308"/>
      <c r="E2853" s="291"/>
      <c r="F2853" s="291"/>
      <c r="G2853" s="291"/>
      <c r="H2853" s="287"/>
      <c r="I2853" s="211"/>
      <c r="J2853" s="211"/>
      <c r="K2853" s="288"/>
    </row>
    <row r="2854" spans="4:11" x14ac:dyDescent="0.2">
      <c r="D2854" s="308"/>
      <c r="E2854" s="291"/>
      <c r="F2854" s="291"/>
      <c r="G2854" s="291"/>
      <c r="H2854" s="287"/>
      <c r="I2854" s="211"/>
      <c r="J2854" s="211"/>
      <c r="K2854" s="288"/>
    </row>
    <row r="2855" spans="4:11" x14ac:dyDescent="0.2">
      <c r="D2855" s="308"/>
      <c r="E2855" s="291"/>
      <c r="F2855" s="291"/>
      <c r="G2855" s="291"/>
      <c r="H2855" s="287"/>
      <c r="I2855" s="211"/>
      <c r="J2855" s="211"/>
      <c r="K2855" s="288"/>
    </row>
    <row r="2856" spans="4:11" x14ac:dyDescent="0.2">
      <c r="D2856" s="308"/>
      <c r="E2856" s="291"/>
      <c r="F2856" s="291"/>
      <c r="G2856" s="291"/>
      <c r="H2856" s="287"/>
      <c r="I2856" s="211"/>
      <c r="J2856" s="211"/>
      <c r="K2856" s="288"/>
    </row>
    <row r="2857" spans="4:11" x14ac:dyDescent="0.2">
      <c r="D2857" s="308"/>
      <c r="E2857" s="291"/>
      <c r="F2857" s="291"/>
      <c r="G2857" s="291"/>
      <c r="H2857" s="287"/>
      <c r="I2857" s="211"/>
      <c r="J2857" s="211"/>
      <c r="K2857" s="288"/>
    </row>
    <row r="2858" spans="4:11" x14ac:dyDescent="0.2">
      <c r="D2858" s="308"/>
      <c r="E2858" s="291"/>
      <c r="F2858" s="291"/>
      <c r="G2858" s="291"/>
      <c r="H2858" s="287"/>
      <c r="I2858" s="211"/>
      <c r="J2858" s="211"/>
      <c r="K2858" s="288"/>
    </row>
    <row r="2859" spans="4:11" x14ac:dyDescent="0.2">
      <c r="D2859" s="308"/>
      <c r="E2859" s="291"/>
      <c r="F2859" s="291"/>
      <c r="G2859" s="291"/>
      <c r="H2859" s="287"/>
      <c r="I2859" s="211"/>
      <c r="J2859" s="211"/>
      <c r="K2859" s="288"/>
    </row>
    <row r="2860" spans="4:11" x14ac:dyDescent="0.2">
      <c r="D2860" s="308"/>
      <c r="E2860" s="291"/>
      <c r="F2860" s="291"/>
      <c r="G2860" s="291"/>
      <c r="H2860" s="287"/>
      <c r="I2860" s="211"/>
      <c r="J2860" s="211"/>
      <c r="K2860" s="288"/>
    </row>
    <row r="2861" spans="4:11" x14ac:dyDescent="0.2">
      <c r="D2861" s="308"/>
      <c r="E2861" s="291"/>
      <c r="F2861" s="291"/>
      <c r="G2861" s="291"/>
      <c r="H2861" s="287"/>
      <c r="I2861" s="211"/>
      <c r="J2861" s="211"/>
      <c r="K2861" s="288"/>
    </row>
    <row r="2862" spans="4:11" x14ac:dyDescent="0.2">
      <c r="D2862" s="308"/>
      <c r="E2862" s="291"/>
      <c r="F2862" s="291"/>
      <c r="G2862" s="291"/>
      <c r="H2862" s="287"/>
      <c r="I2862" s="211"/>
      <c r="J2862" s="211"/>
      <c r="K2862" s="288"/>
    </row>
    <row r="2863" spans="4:11" x14ac:dyDescent="0.2">
      <c r="D2863" s="308"/>
      <c r="E2863" s="291"/>
      <c r="F2863" s="291"/>
      <c r="G2863" s="291"/>
      <c r="H2863" s="287"/>
      <c r="I2863" s="211"/>
      <c r="J2863" s="211"/>
      <c r="K2863" s="288"/>
    </row>
    <row r="2864" spans="4:11" x14ac:dyDescent="0.2">
      <c r="D2864" s="308"/>
      <c r="E2864" s="291"/>
      <c r="F2864" s="291"/>
      <c r="G2864" s="291"/>
      <c r="H2864" s="287"/>
      <c r="I2864" s="211"/>
      <c r="J2864" s="211"/>
      <c r="K2864" s="288"/>
    </row>
    <row r="2865" spans="4:11" x14ac:dyDescent="0.2">
      <c r="D2865" s="308"/>
      <c r="E2865" s="291"/>
      <c r="F2865" s="291"/>
      <c r="G2865" s="291"/>
      <c r="H2865" s="287"/>
      <c r="I2865" s="211"/>
      <c r="J2865" s="211"/>
      <c r="K2865" s="288"/>
    </row>
    <row r="2866" spans="4:11" x14ac:dyDescent="0.2">
      <c r="D2866" s="308"/>
      <c r="E2866" s="291"/>
      <c r="F2866" s="291"/>
      <c r="G2866" s="291"/>
      <c r="H2866" s="287"/>
      <c r="I2866" s="211"/>
      <c r="J2866" s="211"/>
      <c r="K2866" s="288"/>
    </row>
    <row r="2867" spans="4:11" x14ac:dyDescent="0.2">
      <c r="D2867" s="308"/>
      <c r="E2867" s="291"/>
      <c r="F2867" s="291"/>
      <c r="G2867" s="291"/>
      <c r="H2867" s="287"/>
      <c r="I2867" s="211"/>
      <c r="J2867" s="211"/>
      <c r="K2867" s="288"/>
    </row>
    <row r="2868" spans="4:11" x14ac:dyDescent="0.2">
      <c r="D2868" s="308"/>
      <c r="E2868" s="291"/>
      <c r="F2868" s="291"/>
      <c r="G2868" s="291"/>
      <c r="H2868" s="287"/>
      <c r="I2868" s="211"/>
      <c r="J2868" s="211"/>
      <c r="K2868" s="288"/>
    </row>
    <row r="2869" spans="4:11" x14ac:dyDescent="0.2">
      <c r="D2869" s="308"/>
      <c r="E2869" s="291"/>
      <c r="F2869" s="291"/>
      <c r="G2869" s="291"/>
      <c r="H2869" s="287"/>
      <c r="I2869" s="211"/>
      <c r="J2869" s="211"/>
      <c r="K2869" s="288"/>
    </row>
    <row r="2870" spans="4:11" x14ac:dyDescent="0.2">
      <c r="D2870" s="308"/>
      <c r="E2870" s="291"/>
      <c r="F2870" s="291"/>
      <c r="G2870" s="291"/>
      <c r="H2870" s="287"/>
      <c r="I2870" s="211"/>
      <c r="J2870" s="211"/>
      <c r="K2870" s="288"/>
    </row>
    <row r="2871" spans="4:11" x14ac:dyDescent="0.2">
      <c r="D2871" s="308"/>
      <c r="E2871" s="291"/>
      <c r="F2871" s="291"/>
      <c r="G2871" s="291"/>
      <c r="H2871" s="287"/>
      <c r="I2871" s="211"/>
      <c r="J2871" s="211"/>
      <c r="K2871" s="288"/>
    </row>
    <row r="2872" spans="4:11" x14ac:dyDescent="0.2">
      <c r="D2872" s="308"/>
      <c r="E2872" s="291"/>
      <c r="F2872" s="291"/>
      <c r="G2872" s="291"/>
      <c r="H2872" s="287"/>
      <c r="I2872" s="211"/>
      <c r="J2872" s="211"/>
      <c r="K2872" s="288"/>
    </row>
    <row r="2873" spans="4:11" x14ac:dyDescent="0.2">
      <c r="D2873" s="308"/>
      <c r="E2873" s="291"/>
      <c r="F2873" s="291"/>
      <c r="G2873" s="291"/>
      <c r="H2873" s="287"/>
      <c r="I2873" s="211"/>
      <c r="J2873" s="211"/>
      <c r="K2873" s="288"/>
    </row>
    <row r="2874" spans="4:11" x14ac:dyDescent="0.2">
      <c r="D2874" s="308"/>
      <c r="E2874" s="291"/>
      <c r="F2874" s="291"/>
      <c r="G2874" s="291"/>
      <c r="H2874" s="287"/>
      <c r="I2874" s="211"/>
      <c r="J2874" s="211"/>
      <c r="K2874" s="288"/>
    </row>
    <row r="2875" spans="4:11" x14ac:dyDescent="0.2">
      <c r="D2875" s="308"/>
      <c r="E2875" s="291"/>
      <c r="F2875" s="291"/>
      <c r="G2875" s="291"/>
      <c r="H2875" s="287"/>
      <c r="I2875" s="211"/>
      <c r="J2875" s="211"/>
      <c r="K2875" s="288"/>
    </row>
    <row r="2876" spans="4:11" x14ac:dyDescent="0.2">
      <c r="D2876" s="308"/>
      <c r="E2876" s="291"/>
      <c r="F2876" s="291"/>
      <c r="G2876" s="291"/>
      <c r="H2876" s="287"/>
      <c r="I2876" s="211"/>
      <c r="J2876" s="211"/>
      <c r="K2876" s="288"/>
    </row>
    <row r="2877" spans="4:11" x14ac:dyDescent="0.2">
      <c r="D2877" s="308"/>
      <c r="E2877" s="291"/>
      <c r="F2877" s="291"/>
      <c r="G2877" s="291"/>
      <c r="H2877" s="287"/>
      <c r="I2877" s="211"/>
      <c r="J2877" s="211"/>
      <c r="K2877" s="288"/>
    </row>
    <row r="2878" spans="4:11" x14ac:dyDescent="0.2">
      <c r="D2878" s="308"/>
      <c r="E2878" s="291"/>
      <c r="F2878" s="291"/>
      <c r="G2878" s="291"/>
      <c r="H2878" s="287"/>
      <c r="I2878" s="211"/>
      <c r="J2878" s="211"/>
      <c r="K2878" s="288"/>
    </row>
    <row r="2879" spans="4:11" x14ac:dyDescent="0.2">
      <c r="D2879" s="308"/>
      <c r="E2879" s="291"/>
      <c r="F2879" s="291"/>
      <c r="G2879" s="291"/>
      <c r="H2879" s="287"/>
      <c r="I2879" s="211"/>
      <c r="J2879" s="211"/>
      <c r="K2879" s="288"/>
    </row>
    <row r="2880" spans="4:11" x14ac:dyDescent="0.2">
      <c r="D2880" s="308"/>
      <c r="E2880" s="291"/>
      <c r="F2880" s="291"/>
      <c r="G2880" s="291"/>
      <c r="H2880" s="287"/>
      <c r="I2880" s="211"/>
      <c r="J2880" s="211"/>
      <c r="K2880" s="288"/>
    </row>
    <row r="2881" spans="4:11" x14ac:dyDescent="0.2">
      <c r="D2881" s="308"/>
      <c r="E2881" s="291"/>
      <c r="F2881" s="291"/>
      <c r="G2881" s="291"/>
      <c r="H2881" s="287"/>
      <c r="I2881" s="211"/>
      <c r="J2881" s="211"/>
      <c r="K2881" s="288"/>
    </row>
    <row r="2882" spans="4:11" x14ac:dyDescent="0.2">
      <c r="D2882" s="308"/>
      <c r="E2882" s="291"/>
      <c r="F2882" s="291"/>
      <c r="G2882" s="291"/>
      <c r="H2882" s="287"/>
      <c r="I2882" s="211"/>
      <c r="J2882" s="211"/>
      <c r="K2882" s="288"/>
    </row>
    <row r="2883" spans="4:11" x14ac:dyDescent="0.2">
      <c r="D2883" s="308"/>
      <c r="E2883" s="291"/>
      <c r="F2883" s="291"/>
      <c r="G2883" s="291"/>
      <c r="H2883" s="287"/>
      <c r="I2883" s="211"/>
      <c r="J2883" s="211"/>
      <c r="K2883" s="288"/>
    </row>
    <row r="2884" spans="4:11" x14ac:dyDescent="0.2">
      <c r="D2884" s="308"/>
      <c r="E2884" s="291"/>
      <c r="F2884" s="291"/>
      <c r="G2884" s="291"/>
      <c r="H2884" s="287"/>
      <c r="I2884" s="211"/>
      <c r="J2884" s="211"/>
      <c r="K2884" s="288"/>
    </row>
    <row r="2885" spans="4:11" x14ac:dyDescent="0.2">
      <c r="D2885" s="308"/>
      <c r="E2885" s="291"/>
      <c r="F2885" s="291"/>
      <c r="G2885" s="291"/>
      <c r="H2885" s="287"/>
      <c r="I2885" s="211"/>
      <c r="J2885" s="211"/>
      <c r="K2885" s="288"/>
    </row>
    <row r="2886" spans="4:11" x14ac:dyDescent="0.2">
      <c r="D2886" s="308"/>
      <c r="E2886" s="291"/>
      <c r="F2886" s="291"/>
      <c r="G2886" s="291"/>
      <c r="H2886" s="287"/>
      <c r="I2886" s="211"/>
      <c r="J2886" s="211"/>
      <c r="K2886" s="288"/>
    </row>
    <row r="2887" spans="4:11" x14ac:dyDescent="0.2">
      <c r="D2887" s="308"/>
      <c r="E2887" s="291"/>
      <c r="F2887" s="291"/>
      <c r="G2887" s="291"/>
      <c r="H2887" s="287"/>
      <c r="I2887" s="211"/>
      <c r="J2887" s="211"/>
      <c r="K2887" s="288"/>
    </row>
    <row r="2888" spans="4:11" x14ac:dyDescent="0.2">
      <c r="D2888" s="308"/>
      <c r="E2888" s="291"/>
      <c r="F2888" s="291"/>
      <c r="G2888" s="291"/>
      <c r="H2888" s="287"/>
      <c r="I2888" s="211"/>
      <c r="J2888" s="211"/>
      <c r="K2888" s="288"/>
    </row>
    <row r="2889" spans="4:11" x14ac:dyDescent="0.2">
      <c r="D2889" s="308"/>
      <c r="E2889" s="291"/>
      <c r="F2889" s="291"/>
      <c r="G2889" s="291"/>
      <c r="H2889" s="287"/>
      <c r="I2889" s="211"/>
      <c r="J2889" s="211"/>
      <c r="K2889" s="288"/>
    </row>
    <row r="2890" spans="4:11" x14ac:dyDescent="0.2">
      <c r="D2890" s="308"/>
      <c r="E2890" s="291"/>
      <c r="F2890" s="291"/>
      <c r="G2890" s="291"/>
      <c r="H2890" s="287"/>
      <c r="I2890" s="211"/>
      <c r="J2890" s="211"/>
      <c r="K2890" s="288"/>
    </row>
    <row r="2891" spans="4:11" x14ac:dyDescent="0.2">
      <c r="D2891" s="308"/>
      <c r="E2891" s="291"/>
      <c r="F2891" s="291"/>
      <c r="G2891" s="291"/>
      <c r="H2891" s="287"/>
      <c r="I2891" s="211"/>
      <c r="J2891" s="211"/>
      <c r="K2891" s="288"/>
    </row>
    <row r="2892" spans="4:11" x14ac:dyDescent="0.2">
      <c r="D2892" s="308"/>
      <c r="E2892" s="291"/>
      <c r="F2892" s="291"/>
      <c r="G2892" s="291"/>
      <c r="H2892" s="287"/>
      <c r="I2892" s="211"/>
      <c r="J2892" s="211"/>
      <c r="K2892" s="288"/>
    </row>
    <row r="2893" spans="4:11" x14ac:dyDescent="0.2">
      <c r="D2893" s="308"/>
      <c r="E2893" s="291"/>
      <c r="F2893" s="291"/>
      <c r="G2893" s="291"/>
      <c r="H2893" s="287"/>
      <c r="I2893" s="211"/>
      <c r="J2893" s="211"/>
      <c r="K2893" s="288"/>
    </row>
    <row r="2894" spans="4:11" x14ac:dyDescent="0.2">
      <c r="D2894" s="308"/>
      <c r="E2894" s="291"/>
      <c r="F2894" s="291"/>
      <c r="G2894" s="291"/>
      <c r="H2894" s="287"/>
      <c r="I2894" s="211"/>
      <c r="J2894" s="211"/>
      <c r="K2894" s="288"/>
    </row>
    <row r="2895" spans="4:11" x14ac:dyDescent="0.2">
      <c r="D2895" s="308"/>
      <c r="E2895" s="291"/>
      <c r="F2895" s="291"/>
      <c r="G2895" s="291"/>
      <c r="H2895" s="287"/>
      <c r="I2895" s="211"/>
      <c r="J2895" s="211"/>
      <c r="K2895" s="288"/>
    </row>
    <row r="2896" spans="4:11" x14ac:dyDescent="0.2">
      <c r="D2896" s="308"/>
      <c r="E2896" s="291"/>
      <c r="F2896" s="291"/>
      <c r="G2896" s="291"/>
      <c r="H2896" s="287"/>
      <c r="I2896" s="211"/>
      <c r="J2896" s="211"/>
      <c r="K2896" s="288"/>
    </row>
    <row r="2897" spans="4:11" x14ac:dyDescent="0.2">
      <c r="D2897" s="308"/>
      <c r="E2897" s="291"/>
      <c r="F2897" s="291"/>
      <c r="G2897" s="291"/>
      <c r="H2897" s="287"/>
      <c r="I2897" s="211"/>
      <c r="J2897" s="211"/>
      <c r="K2897" s="288"/>
    </row>
    <row r="2898" spans="4:11" x14ac:dyDescent="0.2">
      <c r="D2898" s="308"/>
      <c r="E2898" s="291"/>
      <c r="F2898" s="291"/>
      <c r="G2898" s="291"/>
      <c r="H2898" s="287"/>
      <c r="I2898" s="211"/>
      <c r="J2898" s="211"/>
      <c r="K2898" s="288"/>
    </row>
    <row r="2899" spans="4:11" x14ac:dyDescent="0.2">
      <c r="D2899" s="308"/>
      <c r="E2899" s="291"/>
      <c r="F2899" s="291"/>
      <c r="G2899" s="291"/>
      <c r="H2899" s="287"/>
      <c r="I2899" s="211"/>
      <c r="J2899" s="211"/>
      <c r="K2899" s="288"/>
    </row>
    <row r="2900" spans="4:11" x14ac:dyDescent="0.2">
      <c r="D2900" s="308"/>
      <c r="E2900" s="291"/>
      <c r="F2900" s="291"/>
      <c r="G2900" s="291"/>
      <c r="H2900" s="287"/>
      <c r="I2900" s="211"/>
      <c r="J2900" s="211"/>
      <c r="K2900" s="288"/>
    </row>
    <row r="2901" spans="4:11" x14ac:dyDescent="0.2">
      <c r="D2901" s="308"/>
      <c r="E2901" s="291"/>
      <c r="F2901" s="291"/>
      <c r="G2901" s="291"/>
      <c r="H2901" s="287"/>
      <c r="I2901" s="211"/>
      <c r="J2901" s="211"/>
      <c r="K2901" s="288"/>
    </row>
    <row r="2902" spans="4:11" x14ac:dyDescent="0.2">
      <c r="D2902" s="308"/>
      <c r="E2902" s="291"/>
      <c r="F2902" s="291"/>
      <c r="G2902" s="291"/>
      <c r="H2902" s="287"/>
      <c r="I2902" s="211"/>
      <c r="J2902" s="211"/>
      <c r="K2902" s="288"/>
    </row>
    <row r="2903" spans="4:11" x14ac:dyDescent="0.2">
      <c r="D2903" s="308"/>
      <c r="E2903" s="291"/>
      <c r="F2903" s="291"/>
      <c r="G2903" s="291"/>
      <c r="H2903" s="287"/>
      <c r="I2903" s="211"/>
      <c r="J2903" s="211"/>
      <c r="K2903" s="288"/>
    </row>
    <row r="2904" spans="4:11" x14ac:dyDescent="0.2">
      <c r="D2904" s="308"/>
      <c r="E2904" s="291"/>
      <c r="F2904" s="291"/>
      <c r="G2904" s="291"/>
      <c r="H2904" s="287"/>
      <c r="I2904" s="211"/>
      <c r="J2904" s="211"/>
      <c r="K2904" s="288"/>
    </row>
    <row r="2905" spans="4:11" x14ac:dyDescent="0.2">
      <c r="D2905" s="308"/>
      <c r="E2905" s="291"/>
      <c r="F2905" s="291"/>
      <c r="G2905" s="291"/>
      <c r="H2905" s="287"/>
      <c r="I2905" s="211"/>
      <c r="J2905" s="211"/>
      <c r="K2905" s="288"/>
    </row>
    <row r="2906" spans="4:11" x14ac:dyDescent="0.2">
      <c r="D2906" s="308"/>
      <c r="E2906" s="291"/>
      <c r="F2906" s="291"/>
      <c r="G2906" s="291"/>
      <c r="H2906" s="287"/>
      <c r="I2906" s="211"/>
      <c r="J2906" s="211"/>
      <c r="K2906" s="288"/>
    </row>
    <row r="2907" spans="4:11" x14ac:dyDescent="0.2">
      <c r="D2907" s="308"/>
      <c r="E2907" s="291"/>
      <c r="F2907" s="291"/>
      <c r="G2907" s="291"/>
      <c r="H2907" s="287"/>
      <c r="I2907" s="211"/>
      <c r="J2907" s="211"/>
      <c r="K2907" s="288"/>
    </row>
    <row r="2908" spans="4:11" x14ac:dyDescent="0.2">
      <c r="D2908" s="308"/>
      <c r="E2908" s="291"/>
      <c r="F2908" s="291"/>
      <c r="G2908" s="291"/>
      <c r="H2908" s="287"/>
      <c r="I2908" s="211"/>
      <c r="J2908" s="211"/>
      <c r="K2908" s="288"/>
    </row>
    <row r="2909" spans="4:11" x14ac:dyDescent="0.2">
      <c r="D2909" s="308"/>
      <c r="E2909" s="291"/>
      <c r="F2909" s="291"/>
      <c r="G2909" s="291"/>
      <c r="H2909" s="287"/>
      <c r="I2909" s="211"/>
      <c r="J2909" s="211"/>
      <c r="K2909" s="288"/>
    </row>
    <row r="2910" spans="4:11" x14ac:dyDescent="0.2">
      <c r="D2910" s="308"/>
      <c r="E2910" s="291"/>
      <c r="F2910" s="291"/>
      <c r="G2910" s="291"/>
      <c r="H2910" s="287"/>
      <c r="I2910" s="211"/>
      <c r="J2910" s="211"/>
      <c r="K2910" s="288"/>
    </row>
    <row r="2911" spans="4:11" x14ac:dyDescent="0.2">
      <c r="D2911" s="308"/>
      <c r="E2911" s="291"/>
      <c r="F2911" s="291"/>
      <c r="G2911" s="291"/>
      <c r="H2911" s="287"/>
      <c r="I2911" s="211"/>
      <c r="J2911" s="211"/>
      <c r="K2911" s="288"/>
    </row>
    <row r="2912" spans="4:11" x14ac:dyDescent="0.2">
      <c r="D2912" s="308"/>
      <c r="E2912" s="291"/>
      <c r="F2912" s="291"/>
      <c r="G2912" s="291"/>
      <c r="H2912" s="287"/>
      <c r="I2912" s="211"/>
      <c r="J2912" s="211"/>
      <c r="K2912" s="288"/>
    </row>
    <row r="2913" spans="4:11" x14ac:dyDescent="0.2">
      <c r="D2913" s="308"/>
      <c r="E2913" s="291"/>
      <c r="F2913" s="291"/>
      <c r="G2913" s="291"/>
      <c r="H2913" s="287"/>
      <c r="I2913" s="211"/>
      <c r="J2913" s="211"/>
      <c r="K2913" s="288"/>
    </row>
    <row r="2914" spans="4:11" x14ac:dyDescent="0.2">
      <c r="D2914" s="308"/>
      <c r="E2914" s="291"/>
      <c r="F2914" s="291"/>
      <c r="G2914" s="291"/>
      <c r="H2914" s="287"/>
      <c r="I2914" s="211"/>
      <c r="J2914" s="211"/>
      <c r="K2914" s="288"/>
    </row>
    <row r="2915" spans="4:11" x14ac:dyDescent="0.2">
      <c r="D2915" s="308"/>
      <c r="E2915" s="291"/>
      <c r="F2915" s="291"/>
      <c r="G2915" s="291"/>
      <c r="H2915" s="287"/>
      <c r="I2915" s="211"/>
      <c r="J2915" s="211"/>
      <c r="K2915" s="288"/>
    </row>
    <row r="2916" spans="4:11" x14ac:dyDescent="0.2">
      <c r="D2916" s="308"/>
      <c r="E2916" s="291"/>
      <c r="F2916" s="291"/>
      <c r="G2916" s="291"/>
      <c r="H2916" s="287"/>
      <c r="I2916" s="211"/>
      <c r="J2916" s="211"/>
      <c r="K2916" s="288"/>
    </row>
    <row r="2917" spans="4:11" x14ac:dyDescent="0.2">
      <c r="D2917" s="308"/>
      <c r="E2917" s="291"/>
      <c r="F2917" s="291"/>
      <c r="G2917" s="291"/>
      <c r="H2917" s="287"/>
      <c r="I2917" s="211"/>
      <c r="J2917" s="211"/>
      <c r="K2917" s="288"/>
    </row>
    <row r="2918" spans="4:11" x14ac:dyDescent="0.2">
      <c r="D2918" s="308"/>
      <c r="E2918" s="291"/>
      <c r="F2918" s="291"/>
      <c r="G2918" s="291"/>
      <c r="H2918" s="287"/>
      <c r="I2918" s="211"/>
      <c r="J2918" s="211"/>
      <c r="K2918" s="288"/>
    </row>
    <row r="2919" spans="4:11" x14ac:dyDescent="0.2">
      <c r="D2919" s="308"/>
      <c r="E2919" s="291"/>
      <c r="F2919" s="291"/>
      <c r="G2919" s="291"/>
      <c r="H2919" s="287"/>
      <c r="I2919" s="211"/>
      <c r="J2919" s="211"/>
      <c r="K2919" s="288"/>
    </row>
    <row r="2920" spans="4:11" x14ac:dyDescent="0.2">
      <c r="D2920" s="308"/>
      <c r="E2920" s="291"/>
      <c r="F2920" s="291"/>
      <c r="G2920" s="291"/>
      <c r="H2920" s="287"/>
      <c r="I2920" s="211"/>
      <c r="J2920" s="211"/>
      <c r="K2920" s="288"/>
    </row>
    <row r="2921" spans="4:11" x14ac:dyDescent="0.2">
      <c r="D2921" s="308"/>
      <c r="E2921" s="291"/>
      <c r="F2921" s="291"/>
      <c r="G2921" s="291"/>
      <c r="H2921" s="287"/>
      <c r="I2921" s="211"/>
      <c r="J2921" s="211"/>
      <c r="K2921" s="288"/>
    </row>
    <row r="2922" spans="4:11" x14ac:dyDescent="0.2">
      <c r="D2922" s="308"/>
      <c r="E2922" s="291"/>
      <c r="F2922" s="291"/>
      <c r="G2922" s="291"/>
      <c r="H2922" s="287"/>
      <c r="I2922" s="211"/>
      <c r="J2922" s="211"/>
      <c r="K2922" s="288"/>
    </row>
    <row r="2923" spans="4:11" x14ac:dyDescent="0.2">
      <c r="D2923" s="308"/>
      <c r="E2923" s="291"/>
      <c r="F2923" s="291"/>
      <c r="G2923" s="291"/>
      <c r="H2923" s="287"/>
      <c r="I2923" s="211"/>
      <c r="J2923" s="211"/>
      <c r="K2923" s="288"/>
    </row>
    <row r="2924" spans="4:11" x14ac:dyDescent="0.2">
      <c r="D2924" s="308"/>
      <c r="E2924" s="291"/>
      <c r="F2924" s="291"/>
      <c r="G2924" s="291"/>
      <c r="H2924" s="287"/>
      <c r="I2924" s="211"/>
      <c r="J2924" s="211"/>
      <c r="K2924" s="288"/>
    </row>
    <row r="2925" spans="4:11" x14ac:dyDescent="0.2">
      <c r="D2925" s="308"/>
      <c r="E2925" s="291"/>
      <c r="F2925" s="291"/>
      <c r="G2925" s="291"/>
      <c r="H2925" s="287"/>
      <c r="I2925" s="211"/>
      <c r="J2925" s="211"/>
      <c r="K2925" s="288"/>
    </row>
    <row r="2926" spans="4:11" x14ac:dyDescent="0.2">
      <c r="D2926" s="308"/>
      <c r="E2926" s="291"/>
      <c r="F2926" s="291"/>
      <c r="G2926" s="291"/>
      <c r="H2926" s="287"/>
      <c r="I2926" s="211"/>
      <c r="J2926" s="211"/>
      <c r="K2926" s="288"/>
    </row>
    <row r="2927" spans="4:11" x14ac:dyDescent="0.2">
      <c r="D2927" s="308"/>
      <c r="E2927" s="291"/>
      <c r="F2927" s="291"/>
      <c r="G2927" s="291"/>
      <c r="H2927" s="287"/>
      <c r="I2927" s="211"/>
      <c r="J2927" s="211"/>
      <c r="K2927" s="288"/>
    </row>
    <row r="2928" spans="4:11" x14ac:dyDescent="0.2">
      <c r="D2928" s="308"/>
      <c r="E2928" s="291"/>
      <c r="F2928" s="291"/>
      <c r="G2928" s="291"/>
      <c r="H2928" s="287"/>
      <c r="I2928" s="211"/>
      <c r="J2928" s="211"/>
      <c r="K2928" s="288"/>
    </row>
    <row r="2929" spans="4:11" x14ac:dyDescent="0.2">
      <c r="D2929" s="308"/>
      <c r="E2929" s="291"/>
      <c r="F2929" s="291"/>
      <c r="G2929" s="291"/>
      <c r="H2929" s="287"/>
      <c r="I2929" s="211"/>
      <c r="J2929" s="211"/>
      <c r="K2929" s="288"/>
    </row>
    <row r="2930" spans="4:11" x14ac:dyDescent="0.2">
      <c r="D2930" s="308"/>
      <c r="E2930" s="291"/>
      <c r="F2930" s="291"/>
      <c r="G2930" s="291"/>
      <c r="H2930" s="287"/>
      <c r="I2930" s="211"/>
      <c r="J2930" s="211"/>
      <c r="K2930" s="288"/>
    </row>
    <row r="2931" spans="4:11" x14ac:dyDescent="0.2">
      <c r="D2931" s="308"/>
      <c r="E2931" s="291"/>
      <c r="F2931" s="291"/>
      <c r="G2931" s="291"/>
      <c r="H2931" s="287"/>
      <c r="I2931" s="211"/>
      <c r="J2931" s="211"/>
      <c r="K2931" s="288"/>
    </row>
    <row r="2932" spans="4:11" x14ac:dyDescent="0.2">
      <c r="D2932" s="308"/>
      <c r="E2932" s="291"/>
      <c r="F2932" s="291"/>
      <c r="G2932" s="291"/>
      <c r="H2932" s="287"/>
      <c r="I2932" s="211"/>
      <c r="J2932" s="211"/>
      <c r="K2932" s="288"/>
    </row>
    <row r="2933" spans="4:11" x14ac:dyDescent="0.2">
      <c r="D2933" s="308"/>
      <c r="E2933" s="291"/>
      <c r="F2933" s="291"/>
      <c r="G2933" s="291"/>
      <c r="H2933" s="287"/>
      <c r="I2933" s="211"/>
      <c r="J2933" s="211"/>
      <c r="K2933" s="288"/>
    </row>
    <row r="2934" spans="4:11" x14ac:dyDescent="0.2">
      <c r="D2934" s="308"/>
      <c r="E2934" s="291"/>
      <c r="F2934" s="291"/>
      <c r="G2934" s="291"/>
      <c r="H2934" s="287"/>
      <c r="I2934" s="211"/>
      <c r="J2934" s="211"/>
      <c r="K2934" s="288"/>
    </row>
    <row r="2935" spans="4:11" x14ac:dyDescent="0.2">
      <c r="D2935" s="308"/>
      <c r="E2935" s="291"/>
      <c r="F2935" s="291"/>
      <c r="G2935" s="291"/>
      <c r="H2935" s="287"/>
      <c r="I2935" s="211"/>
      <c r="J2935" s="211"/>
      <c r="K2935" s="288"/>
    </row>
    <row r="2936" spans="4:11" x14ac:dyDescent="0.2">
      <c r="D2936" s="308"/>
      <c r="E2936" s="291"/>
      <c r="F2936" s="291"/>
      <c r="G2936" s="291"/>
      <c r="H2936" s="287"/>
      <c r="I2936" s="211"/>
      <c r="J2936" s="211"/>
      <c r="K2936" s="288"/>
    </row>
    <row r="2937" spans="4:11" x14ac:dyDescent="0.2">
      <c r="D2937" s="308"/>
      <c r="E2937" s="291"/>
      <c r="F2937" s="291"/>
      <c r="G2937" s="291"/>
      <c r="H2937" s="287"/>
      <c r="I2937" s="211"/>
      <c r="J2937" s="211"/>
      <c r="K2937" s="288"/>
    </row>
    <row r="2938" spans="4:11" x14ac:dyDescent="0.2">
      <c r="D2938" s="308"/>
      <c r="E2938" s="291"/>
      <c r="F2938" s="291"/>
      <c r="G2938" s="291"/>
      <c r="H2938" s="287"/>
      <c r="I2938" s="211"/>
      <c r="J2938" s="211"/>
      <c r="K2938" s="288"/>
    </row>
    <row r="2939" spans="4:11" x14ac:dyDescent="0.2">
      <c r="D2939" s="308"/>
      <c r="E2939" s="291"/>
      <c r="F2939" s="291"/>
      <c r="G2939" s="291"/>
      <c r="H2939" s="287"/>
      <c r="I2939" s="211"/>
      <c r="J2939" s="211"/>
      <c r="K2939" s="288"/>
    </row>
    <row r="2940" spans="4:11" x14ac:dyDescent="0.2">
      <c r="D2940" s="308"/>
      <c r="E2940" s="291"/>
      <c r="F2940" s="291"/>
      <c r="G2940" s="291"/>
      <c r="H2940" s="287"/>
      <c r="I2940" s="211"/>
      <c r="J2940" s="211"/>
      <c r="K2940" s="288"/>
    </row>
    <row r="2941" spans="4:11" x14ac:dyDescent="0.2">
      <c r="D2941" s="308"/>
      <c r="E2941" s="291"/>
      <c r="F2941" s="291"/>
      <c r="G2941" s="291"/>
      <c r="H2941" s="287"/>
      <c r="I2941" s="211"/>
      <c r="J2941" s="211"/>
      <c r="K2941" s="288"/>
    </row>
    <row r="2942" spans="4:11" x14ac:dyDescent="0.2">
      <c r="D2942" s="308"/>
      <c r="E2942" s="291"/>
      <c r="F2942" s="291"/>
      <c r="G2942" s="291"/>
      <c r="H2942" s="287"/>
      <c r="I2942" s="211"/>
      <c r="J2942" s="211"/>
      <c r="K2942" s="288"/>
    </row>
    <row r="2943" spans="4:11" x14ac:dyDescent="0.2">
      <c r="D2943" s="308"/>
      <c r="E2943" s="291"/>
      <c r="F2943" s="291"/>
      <c r="G2943" s="291"/>
      <c r="H2943" s="287"/>
      <c r="I2943" s="211"/>
      <c r="J2943" s="211"/>
      <c r="K2943" s="288"/>
    </row>
    <row r="2944" spans="4:11" x14ac:dyDescent="0.2">
      <c r="D2944" s="308"/>
      <c r="E2944" s="291"/>
      <c r="F2944" s="291"/>
      <c r="G2944" s="291"/>
      <c r="H2944" s="287"/>
      <c r="I2944" s="211"/>
      <c r="J2944" s="211"/>
      <c r="K2944" s="288"/>
    </row>
    <row r="2945" spans="4:11" x14ac:dyDescent="0.2">
      <c r="D2945" s="308"/>
      <c r="E2945" s="291"/>
      <c r="F2945" s="291"/>
      <c r="G2945" s="291"/>
      <c r="H2945" s="287"/>
      <c r="I2945" s="211"/>
      <c r="J2945" s="211"/>
      <c r="K2945" s="288"/>
    </row>
    <row r="2946" spans="4:11" x14ac:dyDescent="0.2">
      <c r="D2946" s="308"/>
      <c r="E2946" s="291"/>
      <c r="F2946" s="291"/>
      <c r="G2946" s="291"/>
      <c r="H2946" s="287"/>
      <c r="I2946" s="211"/>
      <c r="J2946" s="211"/>
      <c r="K2946" s="288"/>
    </row>
    <row r="2947" spans="4:11" x14ac:dyDescent="0.2">
      <c r="D2947" s="308"/>
      <c r="E2947" s="291"/>
      <c r="F2947" s="291"/>
      <c r="G2947" s="291"/>
      <c r="H2947" s="287"/>
      <c r="I2947" s="211"/>
      <c r="J2947" s="211"/>
      <c r="K2947" s="288"/>
    </row>
    <row r="2948" spans="4:11" x14ac:dyDescent="0.2">
      <c r="D2948" s="308"/>
      <c r="E2948" s="291"/>
      <c r="F2948" s="291"/>
      <c r="G2948" s="291"/>
      <c r="H2948" s="287"/>
      <c r="I2948" s="211"/>
      <c r="J2948" s="211"/>
      <c r="K2948" s="288"/>
    </row>
    <row r="2949" spans="4:11" x14ac:dyDescent="0.2">
      <c r="D2949" s="308"/>
      <c r="E2949" s="291"/>
      <c r="F2949" s="291"/>
      <c r="G2949" s="291"/>
      <c r="H2949" s="287"/>
      <c r="I2949" s="211"/>
      <c r="J2949" s="211"/>
      <c r="K2949" s="288"/>
    </row>
    <row r="2950" spans="4:11" x14ac:dyDescent="0.2">
      <c r="D2950" s="308"/>
      <c r="E2950" s="291"/>
      <c r="F2950" s="291"/>
      <c r="G2950" s="291"/>
      <c r="H2950" s="287"/>
      <c r="I2950" s="211"/>
      <c r="J2950" s="211"/>
      <c r="K2950" s="288"/>
    </row>
    <row r="2951" spans="4:11" x14ac:dyDescent="0.2">
      <c r="D2951" s="308"/>
      <c r="E2951" s="291"/>
      <c r="F2951" s="291"/>
      <c r="G2951" s="291"/>
      <c r="H2951" s="287"/>
      <c r="I2951" s="211"/>
      <c r="J2951" s="211"/>
      <c r="K2951" s="288"/>
    </row>
    <row r="2952" spans="4:11" x14ac:dyDescent="0.2">
      <c r="D2952" s="308"/>
      <c r="E2952" s="291"/>
      <c r="F2952" s="291"/>
      <c r="G2952" s="291"/>
      <c r="H2952" s="287"/>
      <c r="I2952" s="211"/>
      <c r="J2952" s="211"/>
      <c r="K2952" s="288"/>
    </row>
    <row r="2953" spans="4:11" x14ac:dyDescent="0.2">
      <c r="D2953" s="308"/>
      <c r="E2953" s="291"/>
      <c r="F2953" s="291"/>
      <c r="G2953" s="291"/>
      <c r="H2953" s="287"/>
      <c r="I2953" s="211"/>
      <c r="J2953" s="211"/>
      <c r="K2953" s="288"/>
    </row>
    <row r="2954" spans="4:11" x14ac:dyDescent="0.2">
      <c r="D2954" s="308"/>
      <c r="E2954" s="291"/>
      <c r="F2954" s="291"/>
      <c r="G2954" s="291"/>
      <c r="H2954" s="287"/>
      <c r="I2954" s="211"/>
      <c r="J2954" s="211"/>
      <c r="K2954" s="288"/>
    </row>
    <row r="2955" spans="4:11" x14ac:dyDescent="0.2">
      <c r="D2955" s="308"/>
      <c r="E2955" s="291"/>
      <c r="F2955" s="291"/>
      <c r="G2955" s="291"/>
      <c r="H2955" s="287"/>
      <c r="I2955" s="211"/>
      <c r="J2955" s="211"/>
      <c r="K2955" s="288"/>
    </row>
    <row r="2956" spans="4:11" x14ac:dyDescent="0.2">
      <c r="D2956" s="308"/>
      <c r="E2956" s="291"/>
      <c r="F2956" s="291"/>
      <c r="G2956" s="291"/>
      <c r="H2956" s="287"/>
      <c r="I2956" s="211"/>
      <c r="J2956" s="211"/>
      <c r="K2956" s="288"/>
    </row>
    <row r="2957" spans="4:11" x14ac:dyDescent="0.2">
      <c r="D2957" s="308"/>
      <c r="E2957" s="291"/>
      <c r="F2957" s="291"/>
      <c r="G2957" s="291"/>
      <c r="H2957" s="287"/>
      <c r="I2957" s="211"/>
      <c r="J2957" s="211"/>
      <c r="K2957" s="288"/>
    </row>
    <row r="2958" spans="4:11" x14ac:dyDescent="0.2">
      <c r="D2958" s="308"/>
      <c r="E2958" s="291"/>
      <c r="F2958" s="291"/>
      <c r="G2958" s="291"/>
      <c r="H2958" s="287"/>
      <c r="I2958" s="211"/>
      <c r="J2958" s="211"/>
      <c r="K2958" s="288"/>
    </row>
    <row r="2959" spans="4:11" x14ac:dyDescent="0.2">
      <c r="D2959" s="308"/>
      <c r="E2959" s="291"/>
      <c r="F2959" s="291"/>
      <c r="G2959" s="291"/>
      <c r="H2959" s="287"/>
      <c r="I2959" s="211"/>
      <c r="J2959" s="211"/>
      <c r="K2959" s="288"/>
    </row>
    <row r="2960" spans="4:11" x14ac:dyDescent="0.2">
      <c r="D2960" s="308"/>
      <c r="E2960" s="291"/>
      <c r="F2960" s="291"/>
      <c r="G2960" s="291"/>
      <c r="H2960" s="287"/>
      <c r="I2960" s="211"/>
      <c r="J2960" s="211"/>
      <c r="K2960" s="288"/>
    </row>
    <row r="2961" spans="4:11" x14ac:dyDescent="0.2">
      <c r="D2961" s="308"/>
      <c r="E2961" s="291"/>
      <c r="F2961" s="291"/>
      <c r="G2961" s="291"/>
      <c r="H2961" s="287"/>
      <c r="I2961" s="211"/>
      <c r="J2961" s="211"/>
      <c r="K2961" s="288"/>
    </row>
    <row r="2962" spans="4:11" x14ac:dyDescent="0.2">
      <c r="D2962" s="308"/>
      <c r="E2962" s="291"/>
      <c r="F2962" s="291"/>
      <c r="G2962" s="291"/>
      <c r="H2962" s="287"/>
      <c r="I2962" s="211"/>
      <c r="J2962" s="211"/>
      <c r="K2962" s="288"/>
    </row>
    <row r="2963" spans="4:11" x14ac:dyDescent="0.2">
      <c r="D2963" s="308"/>
      <c r="E2963" s="291"/>
      <c r="F2963" s="291"/>
      <c r="G2963" s="291"/>
      <c r="H2963" s="287"/>
      <c r="I2963" s="211"/>
      <c r="J2963" s="211"/>
      <c r="K2963" s="288"/>
    </row>
    <row r="2964" spans="4:11" x14ac:dyDescent="0.2">
      <c r="D2964" s="308"/>
      <c r="E2964" s="291"/>
      <c r="F2964" s="291"/>
      <c r="G2964" s="291"/>
      <c r="H2964" s="287"/>
      <c r="I2964" s="211"/>
      <c r="J2964" s="211"/>
      <c r="K2964" s="288"/>
    </row>
    <row r="2965" spans="4:11" x14ac:dyDescent="0.2">
      <c r="D2965" s="308"/>
      <c r="E2965" s="291"/>
      <c r="F2965" s="291"/>
      <c r="G2965" s="291"/>
      <c r="H2965" s="287"/>
      <c r="I2965" s="211"/>
      <c r="J2965" s="211"/>
      <c r="K2965" s="288"/>
    </row>
    <row r="2966" spans="4:11" x14ac:dyDescent="0.2">
      <c r="D2966" s="308"/>
      <c r="E2966" s="291"/>
      <c r="F2966" s="291"/>
      <c r="G2966" s="291"/>
      <c r="H2966" s="287"/>
      <c r="I2966" s="211"/>
      <c r="J2966" s="211"/>
      <c r="K2966" s="288"/>
    </row>
    <row r="2967" spans="4:11" x14ac:dyDescent="0.2">
      <c r="D2967" s="308"/>
      <c r="E2967" s="291"/>
      <c r="F2967" s="291"/>
      <c r="G2967" s="291"/>
      <c r="H2967" s="287"/>
      <c r="I2967" s="211"/>
      <c r="J2967" s="211"/>
      <c r="K2967" s="288"/>
    </row>
    <row r="2968" spans="4:11" x14ac:dyDescent="0.2">
      <c r="D2968" s="308"/>
      <c r="E2968" s="291"/>
      <c r="F2968" s="291"/>
      <c r="G2968" s="291"/>
      <c r="H2968" s="287"/>
      <c r="I2968" s="211"/>
      <c r="J2968" s="211"/>
      <c r="K2968" s="288"/>
    </row>
    <row r="2969" spans="4:11" x14ac:dyDescent="0.2">
      <c r="D2969" s="308"/>
      <c r="E2969" s="291"/>
      <c r="F2969" s="291"/>
      <c r="G2969" s="291"/>
      <c r="H2969" s="287"/>
      <c r="I2969" s="211"/>
      <c r="J2969" s="211"/>
      <c r="K2969" s="288"/>
    </row>
    <row r="2970" spans="4:11" x14ac:dyDescent="0.2">
      <c r="D2970" s="308"/>
      <c r="E2970" s="291"/>
      <c r="F2970" s="291"/>
      <c r="G2970" s="291"/>
      <c r="H2970" s="287"/>
      <c r="I2970" s="211"/>
      <c r="J2970" s="211"/>
      <c r="K2970" s="288"/>
    </row>
    <row r="2971" spans="4:11" x14ac:dyDescent="0.2">
      <c r="D2971" s="308"/>
      <c r="E2971" s="291"/>
      <c r="F2971" s="291"/>
      <c r="G2971" s="291"/>
      <c r="H2971" s="287"/>
      <c r="I2971" s="211"/>
      <c r="J2971" s="211"/>
      <c r="K2971" s="288"/>
    </row>
    <row r="2972" spans="4:11" x14ac:dyDescent="0.2">
      <c r="D2972" s="308"/>
      <c r="E2972" s="291"/>
      <c r="F2972" s="291"/>
      <c r="G2972" s="291"/>
      <c r="H2972" s="287"/>
      <c r="I2972" s="211"/>
      <c r="J2972" s="211"/>
      <c r="K2972" s="288"/>
    </row>
    <row r="2973" spans="4:11" x14ac:dyDescent="0.2">
      <c r="D2973" s="308"/>
      <c r="E2973" s="291"/>
      <c r="F2973" s="291"/>
      <c r="G2973" s="291"/>
      <c r="H2973" s="287"/>
      <c r="I2973" s="211"/>
      <c r="J2973" s="211"/>
      <c r="K2973" s="288"/>
    </row>
    <row r="2974" spans="4:11" x14ac:dyDescent="0.2">
      <c r="D2974" s="308"/>
      <c r="E2974" s="291"/>
      <c r="F2974" s="291"/>
      <c r="G2974" s="291"/>
      <c r="H2974" s="287"/>
      <c r="I2974" s="211"/>
      <c r="J2974" s="211"/>
      <c r="K2974" s="288"/>
    </row>
    <row r="2975" spans="4:11" x14ac:dyDescent="0.2">
      <c r="D2975" s="308"/>
      <c r="E2975" s="291"/>
      <c r="F2975" s="291"/>
      <c r="G2975" s="291"/>
      <c r="H2975" s="287"/>
      <c r="I2975" s="211"/>
      <c r="J2975" s="211"/>
      <c r="K2975" s="288"/>
    </row>
    <row r="2976" spans="4:11" x14ac:dyDescent="0.2">
      <c r="D2976" s="308"/>
      <c r="E2976" s="291"/>
      <c r="F2976" s="291"/>
      <c r="G2976" s="291"/>
      <c r="H2976" s="287"/>
      <c r="I2976" s="211"/>
      <c r="J2976" s="211"/>
      <c r="K2976" s="288"/>
    </row>
    <row r="2977" spans="4:11" x14ac:dyDescent="0.2">
      <c r="D2977" s="308"/>
      <c r="E2977" s="291"/>
      <c r="F2977" s="291"/>
      <c r="G2977" s="291"/>
      <c r="H2977" s="287"/>
      <c r="I2977" s="211"/>
      <c r="J2977" s="211"/>
      <c r="K2977" s="288"/>
    </row>
    <row r="2978" spans="4:11" x14ac:dyDescent="0.2">
      <c r="D2978" s="308"/>
      <c r="E2978" s="291"/>
      <c r="F2978" s="291"/>
      <c r="G2978" s="291"/>
      <c r="H2978" s="287"/>
      <c r="I2978" s="211"/>
      <c r="J2978" s="211"/>
      <c r="K2978" s="288"/>
    </row>
    <row r="2979" spans="4:11" x14ac:dyDescent="0.2">
      <c r="D2979" s="308"/>
      <c r="E2979" s="291"/>
      <c r="F2979" s="291"/>
      <c r="G2979" s="291"/>
      <c r="H2979" s="287"/>
      <c r="I2979" s="211"/>
      <c r="J2979" s="211"/>
      <c r="K2979" s="288"/>
    </row>
    <row r="2980" spans="4:11" x14ac:dyDescent="0.2">
      <c r="D2980" s="308"/>
      <c r="E2980" s="291"/>
      <c r="F2980" s="291"/>
      <c r="G2980" s="291"/>
      <c r="H2980" s="287"/>
      <c r="I2980" s="211"/>
      <c r="J2980" s="211"/>
      <c r="K2980" s="288"/>
    </row>
    <row r="2981" spans="4:11" x14ac:dyDescent="0.2">
      <c r="D2981" s="308"/>
      <c r="E2981" s="291"/>
      <c r="F2981" s="291"/>
      <c r="G2981" s="291"/>
      <c r="H2981" s="287"/>
      <c r="I2981" s="211"/>
      <c r="J2981" s="211"/>
      <c r="K2981" s="288"/>
    </row>
    <row r="2982" spans="4:11" x14ac:dyDescent="0.2">
      <c r="D2982" s="308"/>
      <c r="E2982" s="291"/>
      <c r="F2982" s="291"/>
      <c r="G2982" s="291"/>
      <c r="H2982" s="287"/>
      <c r="I2982" s="211"/>
      <c r="J2982" s="211"/>
      <c r="K2982" s="288"/>
    </row>
    <row r="2983" spans="4:11" x14ac:dyDescent="0.2">
      <c r="D2983" s="308"/>
      <c r="E2983" s="291"/>
      <c r="F2983" s="291"/>
      <c r="G2983" s="291"/>
      <c r="H2983" s="287"/>
      <c r="I2983" s="211"/>
      <c r="J2983" s="211"/>
      <c r="K2983" s="288"/>
    </row>
    <row r="2984" spans="4:11" x14ac:dyDescent="0.2">
      <c r="D2984" s="308"/>
      <c r="E2984" s="291"/>
      <c r="F2984" s="291"/>
      <c r="G2984" s="291"/>
      <c r="H2984" s="287"/>
      <c r="I2984" s="211"/>
      <c r="J2984" s="211"/>
      <c r="K2984" s="288"/>
    </row>
    <row r="2985" spans="4:11" x14ac:dyDescent="0.2">
      <c r="D2985" s="308"/>
      <c r="E2985" s="291"/>
      <c r="F2985" s="291"/>
      <c r="G2985" s="291"/>
      <c r="H2985" s="287"/>
      <c r="I2985" s="211"/>
      <c r="J2985" s="211"/>
      <c r="K2985" s="288"/>
    </row>
    <row r="2986" spans="4:11" x14ac:dyDescent="0.2">
      <c r="D2986" s="308"/>
      <c r="E2986" s="291"/>
      <c r="F2986" s="291"/>
      <c r="G2986" s="291"/>
      <c r="H2986" s="287"/>
      <c r="I2986" s="211"/>
      <c r="J2986" s="211"/>
      <c r="K2986" s="288"/>
    </row>
    <row r="2987" spans="4:11" x14ac:dyDescent="0.2">
      <c r="D2987" s="308"/>
      <c r="E2987" s="291"/>
      <c r="F2987" s="291"/>
      <c r="G2987" s="291"/>
      <c r="H2987" s="287"/>
      <c r="I2987" s="211"/>
      <c r="J2987" s="211"/>
      <c r="K2987" s="288"/>
    </row>
    <row r="2988" spans="4:11" x14ac:dyDescent="0.2">
      <c r="D2988" s="308"/>
      <c r="E2988" s="291"/>
      <c r="F2988" s="291"/>
      <c r="G2988" s="291"/>
      <c r="H2988" s="287"/>
      <c r="I2988" s="211"/>
      <c r="J2988" s="211"/>
      <c r="K2988" s="288"/>
    </row>
    <row r="2989" spans="4:11" x14ac:dyDescent="0.2">
      <c r="D2989" s="308"/>
      <c r="E2989" s="291"/>
      <c r="F2989" s="291"/>
      <c r="G2989" s="291"/>
      <c r="H2989" s="287"/>
      <c r="I2989" s="211"/>
      <c r="J2989" s="211"/>
      <c r="K2989" s="288"/>
    </row>
    <row r="2990" spans="4:11" x14ac:dyDescent="0.2">
      <c r="D2990" s="308"/>
      <c r="E2990" s="291"/>
      <c r="F2990" s="291"/>
      <c r="G2990" s="291"/>
      <c r="H2990" s="287"/>
      <c r="I2990" s="211"/>
      <c r="J2990" s="211"/>
      <c r="K2990" s="288"/>
    </row>
    <row r="2991" spans="4:11" x14ac:dyDescent="0.2">
      <c r="D2991" s="308"/>
      <c r="E2991" s="291"/>
      <c r="F2991" s="291"/>
      <c r="G2991" s="291"/>
      <c r="H2991" s="287"/>
      <c r="I2991" s="211"/>
      <c r="J2991" s="211"/>
      <c r="K2991" s="288"/>
    </row>
    <row r="2992" spans="4:11" x14ac:dyDescent="0.2">
      <c r="D2992" s="308"/>
      <c r="E2992" s="291"/>
      <c r="F2992" s="291"/>
      <c r="G2992" s="291"/>
      <c r="H2992" s="287"/>
      <c r="I2992" s="211"/>
      <c r="J2992" s="211"/>
      <c r="K2992" s="288"/>
    </row>
    <row r="2993" spans="4:11" x14ac:dyDescent="0.2">
      <c r="D2993" s="308"/>
      <c r="E2993" s="291"/>
      <c r="F2993" s="291"/>
      <c r="G2993" s="291"/>
      <c r="H2993" s="287"/>
      <c r="I2993" s="211"/>
      <c r="J2993" s="211"/>
      <c r="K2993" s="288"/>
    </row>
    <row r="2994" spans="4:11" x14ac:dyDescent="0.2">
      <c r="D2994" s="308"/>
      <c r="E2994" s="291"/>
      <c r="F2994" s="291"/>
      <c r="G2994" s="291"/>
      <c r="H2994" s="287"/>
      <c r="I2994" s="211"/>
      <c r="J2994" s="211"/>
      <c r="K2994" s="288"/>
    </row>
    <row r="2995" spans="4:11" x14ac:dyDescent="0.2">
      <c r="D2995" s="308"/>
      <c r="E2995" s="291"/>
      <c r="F2995" s="291"/>
      <c r="G2995" s="291"/>
      <c r="H2995" s="287"/>
      <c r="I2995" s="211"/>
      <c r="J2995" s="211"/>
      <c r="K2995" s="288"/>
    </row>
    <row r="2996" spans="4:11" x14ac:dyDescent="0.2">
      <c r="D2996" s="308"/>
      <c r="E2996" s="291"/>
      <c r="F2996" s="291"/>
      <c r="G2996" s="291"/>
      <c r="H2996" s="287"/>
      <c r="I2996" s="211"/>
      <c r="J2996" s="211"/>
      <c r="K2996" s="288"/>
    </row>
    <row r="2997" spans="4:11" x14ac:dyDescent="0.2">
      <c r="D2997" s="308"/>
      <c r="E2997" s="291"/>
      <c r="F2997" s="291"/>
      <c r="G2997" s="291"/>
      <c r="H2997" s="287"/>
      <c r="I2997" s="211"/>
      <c r="J2997" s="211"/>
      <c r="K2997" s="288"/>
    </row>
    <row r="2998" spans="4:11" x14ac:dyDescent="0.2">
      <c r="D2998" s="308"/>
      <c r="E2998" s="291"/>
      <c r="F2998" s="291"/>
      <c r="G2998" s="291"/>
      <c r="H2998" s="287"/>
      <c r="I2998" s="211"/>
      <c r="J2998" s="211"/>
      <c r="K2998" s="288"/>
    </row>
    <row r="2999" spans="4:11" x14ac:dyDescent="0.2">
      <c r="D2999" s="308"/>
      <c r="E2999" s="291"/>
      <c r="F2999" s="291"/>
      <c r="G2999" s="291"/>
      <c r="H2999" s="287"/>
      <c r="I2999" s="211"/>
      <c r="J2999" s="211"/>
      <c r="K2999" s="288"/>
    </row>
    <row r="3000" spans="4:11" x14ac:dyDescent="0.2">
      <c r="D3000" s="308"/>
      <c r="E3000" s="291"/>
      <c r="F3000" s="291"/>
      <c r="G3000" s="291"/>
      <c r="H3000" s="287"/>
      <c r="I3000" s="211"/>
      <c r="J3000" s="211"/>
      <c r="K3000" s="288"/>
    </row>
    <row r="3001" spans="4:11" x14ac:dyDescent="0.2">
      <c r="D3001" s="308"/>
      <c r="E3001" s="291"/>
      <c r="F3001" s="291"/>
      <c r="G3001" s="291"/>
      <c r="H3001" s="287"/>
      <c r="I3001" s="211"/>
      <c r="J3001" s="211"/>
      <c r="K3001" s="288"/>
    </row>
    <row r="3002" spans="4:11" x14ac:dyDescent="0.2">
      <c r="D3002" s="308"/>
      <c r="E3002" s="291"/>
      <c r="F3002" s="291"/>
      <c r="G3002" s="291"/>
      <c r="H3002" s="287"/>
      <c r="I3002" s="211"/>
      <c r="J3002" s="211"/>
      <c r="K3002" s="288"/>
    </row>
    <row r="3003" spans="4:11" x14ac:dyDescent="0.2">
      <c r="D3003" s="308"/>
      <c r="E3003" s="291"/>
      <c r="F3003" s="291"/>
      <c r="G3003" s="291"/>
      <c r="H3003" s="287"/>
      <c r="I3003" s="211"/>
      <c r="J3003" s="211"/>
      <c r="K3003" s="288"/>
    </row>
    <row r="3004" spans="4:11" x14ac:dyDescent="0.2">
      <c r="D3004" s="308"/>
      <c r="E3004" s="291"/>
      <c r="F3004" s="291"/>
      <c r="G3004" s="291"/>
      <c r="H3004" s="287"/>
      <c r="I3004" s="211"/>
      <c r="J3004" s="211"/>
      <c r="K3004" s="288"/>
    </row>
    <row r="3005" spans="4:11" x14ac:dyDescent="0.2">
      <c r="D3005" s="308"/>
      <c r="E3005" s="291"/>
      <c r="F3005" s="291"/>
      <c r="G3005" s="291"/>
      <c r="H3005" s="287"/>
      <c r="I3005" s="211"/>
      <c r="J3005" s="211"/>
      <c r="K3005" s="288"/>
    </row>
    <row r="3006" spans="4:11" x14ac:dyDescent="0.2">
      <c r="D3006" s="308"/>
      <c r="E3006" s="291"/>
      <c r="F3006" s="291"/>
      <c r="G3006" s="291"/>
      <c r="H3006" s="287"/>
      <c r="I3006" s="211"/>
      <c r="J3006" s="211"/>
      <c r="K3006" s="288"/>
    </row>
    <row r="3007" spans="4:11" x14ac:dyDescent="0.2">
      <c r="D3007" s="308"/>
      <c r="E3007" s="291"/>
      <c r="F3007" s="291"/>
      <c r="G3007" s="291"/>
      <c r="H3007" s="287"/>
      <c r="I3007" s="211"/>
      <c r="J3007" s="211"/>
      <c r="K3007" s="288"/>
    </row>
    <row r="3008" spans="4:11" x14ac:dyDescent="0.2">
      <c r="D3008" s="308"/>
      <c r="E3008" s="291"/>
      <c r="F3008" s="291"/>
      <c r="G3008" s="291"/>
      <c r="H3008" s="287"/>
      <c r="I3008" s="211"/>
      <c r="J3008" s="211"/>
      <c r="K3008" s="288"/>
    </row>
    <row r="3009" spans="4:11" x14ac:dyDescent="0.2">
      <c r="D3009" s="308"/>
      <c r="E3009" s="291"/>
      <c r="F3009" s="291"/>
      <c r="G3009" s="291"/>
      <c r="H3009" s="287"/>
      <c r="I3009" s="211"/>
      <c r="J3009" s="211"/>
      <c r="K3009" s="288"/>
    </row>
    <row r="3010" spans="4:11" x14ac:dyDescent="0.2">
      <c r="D3010" s="308"/>
      <c r="E3010" s="291"/>
      <c r="F3010" s="291"/>
      <c r="G3010" s="291"/>
      <c r="H3010" s="287"/>
      <c r="I3010" s="211"/>
      <c r="J3010" s="211"/>
      <c r="K3010" s="288"/>
    </row>
    <row r="3011" spans="4:11" x14ac:dyDescent="0.2">
      <c r="D3011" s="308"/>
      <c r="E3011" s="291"/>
      <c r="F3011" s="291"/>
      <c r="G3011" s="291"/>
      <c r="H3011" s="287"/>
      <c r="I3011" s="211"/>
      <c r="J3011" s="211"/>
      <c r="K3011" s="288"/>
    </row>
    <row r="3012" spans="4:11" x14ac:dyDescent="0.2">
      <c r="D3012" s="308"/>
      <c r="E3012" s="291"/>
      <c r="F3012" s="291"/>
      <c r="G3012" s="291"/>
      <c r="H3012" s="287"/>
      <c r="I3012" s="211"/>
      <c r="J3012" s="211"/>
      <c r="K3012" s="288"/>
    </row>
    <row r="3013" spans="4:11" x14ac:dyDescent="0.2">
      <c r="D3013" s="308"/>
      <c r="E3013" s="291"/>
      <c r="F3013" s="291"/>
      <c r="G3013" s="291"/>
      <c r="H3013" s="287"/>
      <c r="I3013" s="211"/>
      <c r="J3013" s="211"/>
      <c r="K3013" s="288"/>
    </row>
    <row r="3014" spans="4:11" x14ac:dyDescent="0.2">
      <c r="D3014" s="308"/>
      <c r="E3014" s="291"/>
      <c r="F3014" s="291"/>
      <c r="G3014" s="291"/>
      <c r="H3014" s="287"/>
      <c r="I3014" s="211"/>
      <c r="J3014" s="211"/>
      <c r="K3014" s="288"/>
    </row>
    <row r="3015" spans="4:11" x14ac:dyDescent="0.2">
      <c r="D3015" s="308"/>
      <c r="E3015" s="291"/>
      <c r="F3015" s="291"/>
      <c r="G3015" s="291"/>
      <c r="H3015" s="287"/>
      <c r="I3015" s="211"/>
      <c r="J3015" s="211"/>
      <c r="K3015" s="288"/>
    </row>
    <row r="3016" spans="4:11" x14ac:dyDescent="0.2">
      <c r="D3016" s="308"/>
      <c r="E3016" s="291"/>
      <c r="F3016" s="291"/>
      <c r="G3016" s="291"/>
      <c r="H3016" s="287"/>
      <c r="I3016" s="211"/>
      <c r="J3016" s="211"/>
      <c r="K3016" s="288"/>
    </row>
    <row r="3017" spans="4:11" x14ac:dyDescent="0.2">
      <c r="D3017" s="308"/>
      <c r="E3017" s="291"/>
      <c r="F3017" s="291"/>
      <c r="G3017" s="291"/>
      <c r="H3017" s="287"/>
      <c r="I3017" s="211"/>
      <c r="J3017" s="211"/>
      <c r="K3017" s="288"/>
    </row>
    <row r="3018" spans="4:11" x14ac:dyDescent="0.2">
      <c r="D3018" s="308"/>
      <c r="E3018" s="291"/>
      <c r="F3018" s="291"/>
      <c r="G3018" s="291"/>
      <c r="H3018" s="287"/>
      <c r="I3018" s="211"/>
      <c r="J3018" s="211"/>
      <c r="K3018" s="288"/>
    </row>
    <row r="3019" spans="4:11" x14ac:dyDescent="0.2">
      <c r="D3019" s="308"/>
      <c r="E3019" s="291"/>
      <c r="F3019" s="291"/>
      <c r="G3019" s="291"/>
      <c r="H3019" s="287"/>
      <c r="I3019" s="211"/>
      <c r="J3019" s="211"/>
      <c r="K3019" s="288"/>
    </row>
    <row r="3020" spans="4:11" x14ac:dyDescent="0.2">
      <c r="D3020" s="308"/>
      <c r="E3020" s="291"/>
      <c r="F3020" s="291"/>
      <c r="G3020" s="291"/>
      <c r="H3020" s="287"/>
      <c r="I3020" s="211"/>
      <c r="J3020" s="211"/>
      <c r="K3020" s="288"/>
    </row>
    <row r="3021" spans="4:11" x14ac:dyDescent="0.2">
      <c r="D3021" s="308"/>
      <c r="E3021" s="291"/>
      <c r="F3021" s="291"/>
      <c r="G3021" s="291"/>
      <c r="H3021" s="287"/>
      <c r="I3021" s="211"/>
      <c r="J3021" s="211"/>
      <c r="K3021" s="288"/>
    </row>
    <row r="3022" spans="4:11" x14ac:dyDescent="0.2">
      <c r="D3022" s="308"/>
      <c r="E3022" s="291"/>
      <c r="F3022" s="291"/>
      <c r="G3022" s="291"/>
      <c r="H3022" s="287"/>
      <c r="I3022" s="211"/>
      <c r="J3022" s="211"/>
      <c r="K3022" s="288"/>
    </row>
    <row r="3023" spans="4:11" x14ac:dyDescent="0.2">
      <c r="D3023" s="308"/>
      <c r="E3023" s="291"/>
      <c r="F3023" s="291"/>
      <c r="G3023" s="291"/>
      <c r="H3023" s="287"/>
      <c r="I3023" s="211"/>
      <c r="J3023" s="211"/>
      <c r="K3023" s="288"/>
    </row>
    <row r="3024" spans="4:11" x14ac:dyDescent="0.2">
      <c r="D3024" s="308"/>
      <c r="E3024" s="291"/>
      <c r="F3024" s="291"/>
      <c r="G3024" s="291"/>
      <c r="H3024" s="287"/>
      <c r="I3024" s="211"/>
      <c r="J3024" s="211"/>
      <c r="K3024" s="288"/>
    </row>
    <row r="3025" spans="4:11" x14ac:dyDescent="0.2">
      <c r="D3025" s="308"/>
      <c r="E3025" s="291"/>
      <c r="F3025" s="291"/>
      <c r="G3025" s="291"/>
      <c r="H3025" s="287"/>
      <c r="I3025" s="211"/>
      <c r="J3025" s="211"/>
      <c r="K3025" s="288"/>
    </row>
    <row r="3026" spans="4:11" x14ac:dyDescent="0.2">
      <c r="D3026" s="308"/>
      <c r="E3026" s="291"/>
      <c r="F3026" s="291"/>
      <c r="G3026" s="291"/>
      <c r="H3026" s="287"/>
      <c r="I3026" s="211"/>
      <c r="J3026" s="211"/>
      <c r="K3026" s="288"/>
    </row>
    <row r="3027" spans="4:11" x14ac:dyDescent="0.2">
      <c r="D3027" s="308"/>
      <c r="E3027" s="291"/>
      <c r="F3027" s="291"/>
      <c r="G3027" s="291"/>
      <c r="H3027" s="287"/>
      <c r="I3027" s="211"/>
      <c r="J3027" s="211"/>
      <c r="K3027" s="288"/>
    </row>
    <row r="3028" spans="4:11" x14ac:dyDescent="0.2">
      <c r="D3028" s="308"/>
      <c r="E3028" s="291"/>
      <c r="F3028" s="291"/>
      <c r="G3028" s="291"/>
      <c r="H3028" s="287"/>
      <c r="I3028" s="211"/>
      <c r="J3028" s="211"/>
      <c r="K3028" s="288"/>
    </row>
    <row r="3029" spans="4:11" x14ac:dyDescent="0.2">
      <c r="D3029" s="308"/>
      <c r="E3029" s="291"/>
      <c r="F3029" s="291"/>
      <c r="G3029" s="291"/>
      <c r="H3029" s="287"/>
      <c r="I3029" s="211"/>
      <c r="J3029" s="211"/>
      <c r="K3029" s="288"/>
    </row>
    <row r="3030" spans="4:11" x14ac:dyDescent="0.2">
      <c r="D3030" s="308"/>
      <c r="E3030" s="291"/>
      <c r="F3030" s="291"/>
      <c r="G3030" s="291"/>
      <c r="H3030" s="287"/>
      <c r="I3030" s="211"/>
      <c r="J3030" s="211"/>
      <c r="K3030" s="288"/>
    </row>
    <row r="3031" spans="4:11" x14ac:dyDescent="0.2">
      <c r="D3031" s="308"/>
      <c r="E3031" s="291"/>
      <c r="F3031" s="291"/>
      <c r="G3031" s="291"/>
      <c r="H3031" s="287"/>
      <c r="I3031" s="211"/>
      <c r="J3031" s="211"/>
      <c r="K3031" s="288"/>
    </row>
    <row r="3032" spans="4:11" x14ac:dyDescent="0.2">
      <c r="D3032" s="308"/>
      <c r="E3032" s="291"/>
      <c r="F3032" s="291"/>
      <c r="G3032" s="291"/>
      <c r="H3032" s="287"/>
      <c r="I3032" s="211"/>
      <c r="J3032" s="211"/>
      <c r="K3032" s="288"/>
    </row>
    <row r="3033" spans="4:11" x14ac:dyDescent="0.2">
      <c r="D3033" s="308"/>
      <c r="E3033" s="291"/>
      <c r="F3033" s="291"/>
      <c r="G3033" s="291"/>
      <c r="H3033" s="287"/>
      <c r="I3033" s="211"/>
      <c r="J3033" s="211"/>
      <c r="K3033" s="288"/>
    </row>
    <row r="3034" spans="4:11" x14ac:dyDescent="0.2">
      <c r="D3034" s="308"/>
      <c r="E3034" s="291"/>
      <c r="F3034" s="291"/>
      <c r="G3034" s="291"/>
      <c r="H3034" s="287"/>
      <c r="I3034" s="211"/>
      <c r="J3034" s="211"/>
      <c r="K3034" s="288"/>
    </row>
    <row r="3035" spans="4:11" x14ac:dyDescent="0.2">
      <c r="D3035" s="308"/>
      <c r="E3035" s="291"/>
      <c r="F3035" s="291"/>
      <c r="G3035" s="291"/>
      <c r="H3035" s="287"/>
      <c r="I3035" s="211"/>
      <c r="J3035" s="211"/>
      <c r="K3035" s="288"/>
    </row>
    <row r="3036" spans="4:11" x14ac:dyDescent="0.2">
      <c r="D3036" s="308"/>
      <c r="E3036" s="291"/>
      <c r="F3036" s="291"/>
      <c r="G3036" s="291"/>
      <c r="H3036" s="287"/>
      <c r="I3036" s="211"/>
      <c r="J3036" s="211"/>
      <c r="K3036" s="288"/>
    </row>
    <row r="3037" spans="4:11" x14ac:dyDescent="0.2">
      <c r="D3037" s="308"/>
      <c r="E3037" s="291"/>
      <c r="F3037" s="291"/>
      <c r="G3037" s="291"/>
      <c r="H3037" s="287"/>
      <c r="I3037" s="211"/>
      <c r="J3037" s="211"/>
      <c r="K3037" s="288"/>
    </row>
    <row r="3038" spans="4:11" x14ac:dyDescent="0.2">
      <c r="D3038" s="308"/>
      <c r="E3038" s="291"/>
      <c r="F3038" s="291"/>
      <c r="G3038" s="291"/>
      <c r="H3038" s="287"/>
      <c r="I3038" s="211"/>
      <c r="J3038" s="211"/>
      <c r="K3038" s="288"/>
    </row>
    <row r="3039" spans="4:11" x14ac:dyDescent="0.2">
      <c r="D3039" s="308"/>
      <c r="E3039" s="291"/>
      <c r="F3039" s="291"/>
      <c r="G3039" s="291"/>
      <c r="H3039" s="287"/>
      <c r="I3039" s="211"/>
      <c r="J3039" s="211"/>
      <c r="K3039" s="288"/>
    </row>
    <row r="3040" spans="4:11" x14ac:dyDescent="0.2">
      <c r="D3040" s="308"/>
      <c r="E3040" s="291"/>
      <c r="F3040" s="291"/>
      <c r="G3040" s="291"/>
      <c r="H3040" s="287"/>
      <c r="I3040" s="211"/>
      <c r="J3040" s="211"/>
      <c r="K3040" s="288"/>
    </row>
    <row r="3041" spans="4:11" x14ac:dyDescent="0.2">
      <c r="D3041" s="308"/>
      <c r="E3041" s="291"/>
      <c r="F3041" s="291"/>
      <c r="G3041" s="291"/>
      <c r="H3041" s="287"/>
      <c r="I3041" s="211"/>
      <c r="J3041" s="211"/>
      <c r="K3041" s="288"/>
    </row>
    <row r="3042" spans="4:11" x14ac:dyDescent="0.2">
      <c r="D3042" s="308"/>
      <c r="E3042" s="291"/>
      <c r="F3042" s="291"/>
      <c r="G3042" s="291"/>
      <c r="H3042" s="287"/>
      <c r="I3042" s="211"/>
      <c r="J3042" s="211"/>
      <c r="K3042" s="288"/>
    </row>
    <row r="3043" spans="4:11" x14ac:dyDescent="0.2">
      <c r="D3043" s="308"/>
      <c r="E3043" s="291"/>
      <c r="F3043" s="291"/>
      <c r="G3043" s="291"/>
      <c r="H3043" s="287"/>
      <c r="I3043" s="211"/>
      <c r="J3043" s="211"/>
      <c r="K3043" s="288"/>
    </row>
    <row r="3044" spans="4:11" x14ac:dyDescent="0.2">
      <c r="D3044" s="308"/>
      <c r="E3044" s="291"/>
      <c r="F3044" s="291"/>
      <c r="G3044" s="291"/>
      <c r="H3044" s="287"/>
      <c r="I3044" s="211"/>
      <c r="J3044" s="211"/>
      <c r="K3044" s="288"/>
    </row>
    <row r="3045" spans="4:11" x14ac:dyDescent="0.2">
      <c r="D3045" s="308"/>
      <c r="E3045" s="291"/>
      <c r="F3045" s="291"/>
      <c r="G3045" s="291"/>
      <c r="H3045" s="287"/>
      <c r="I3045" s="211"/>
      <c r="J3045" s="211"/>
      <c r="K3045" s="288"/>
    </row>
    <row r="3046" spans="4:11" x14ac:dyDescent="0.2">
      <c r="D3046" s="308"/>
      <c r="E3046" s="291"/>
      <c r="F3046" s="291"/>
      <c r="G3046" s="291"/>
      <c r="H3046" s="287"/>
      <c r="I3046" s="211"/>
      <c r="J3046" s="211"/>
      <c r="K3046" s="288"/>
    </row>
    <row r="3047" spans="4:11" x14ac:dyDescent="0.2">
      <c r="D3047" s="308"/>
      <c r="E3047" s="291"/>
      <c r="F3047" s="291"/>
      <c r="G3047" s="291"/>
      <c r="H3047" s="287"/>
      <c r="I3047" s="211"/>
      <c r="J3047" s="211"/>
      <c r="K3047" s="288"/>
    </row>
    <row r="3048" spans="4:11" x14ac:dyDescent="0.2">
      <c r="D3048" s="308"/>
      <c r="E3048" s="291"/>
      <c r="F3048" s="291"/>
      <c r="G3048" s="291"/>
      <c r="H3048" s="287"/>
      <c r="I3048" s="211"/>
      <c r="J3048" s="211"/>
      <c r="K3048" s="288"/>
    </row>
    <row r="3049" spans="4:11" x14ac:dyDescent="0.2">
      <c r="D3049" s="308"/>
      <c r="E3049" s="291"/>
      <c r="F3049" s="291"/>
      <c r="G3049" s="291"/>
      <c r="H3049" s="287"/>
      <c r="I3049" s="211"/>
      <c r="J3049" s="211"/>
      <c r="K3049" s="288"/>
    </row>
    <row r="3050" spans="4:11" x14ac:dyDescent="0.2">
      <c r="D3050" s="308"/>
      <c r="E3050" s="291"/>
      <c r="F3050" s="291"/>
      <c r="G3050" s="291"/>
      <c r="H3050" s="287"/>
      <c r="I3050" s="211"/>
      <c r="J3050" s="211"/>
      <c r="K3050" s="288"/>
    </row>
    <row r="3051" spans="4:11" x14ac:dyDescent="0.2">
      <c r="D3051" s="308"/>
      <c r="E3051" s="291"/>
      <c r="F3051" s="291"/>
      <c r="G3051" s="291"/>
      <c r="H3051" s="287"/>
      <c r="I3051" s="211"/>
      <c r="J3051" s="211"/>
      <c r="K3051" s="288"/>
    </row>
    <row r="3052" spans="4:11" x14ac:dyDescent="0.2">
      <c r="D3052" s="308"/>
      <c r="E3052" s="291"/>
      <c r="F3052" s="291"/>
      <c r="G3052" s="291"/>
      <c r="H3052" s="287"/>
      <c r="I3052" s="211"/>
      <c r="J3052" s="211"/>
      <c r="K3052" s="288"/>
    </row>
    <row r="3053" spans="4:11" x14ac:dyDescent="0.2">
      <c r="D3053" s="308"/>
      <c r="E3053" s="291"/>
      <c r="F3053" s="291"/>
      <c r="G3053" s="291"/>
      <c r="H3053" s="287"/>
      <c r="I3053" s="211"/>
      <c r="J3053" s="211"/>
      <c r="K3053" s="288"/>
    </row>
    <row r="3054" spans="4:11" x14ac:dyDescent="0.2">
      <c r="D3054" s="308"/>
      <c r="E3054" s="291"/>
      <c r="F3054" s="291"/>
      <c r="G3054" s="291"/>
      <c r="H3054" s="287"/>
      <c r="I3054" s="211"/>
      <c r="J3054" s="211"/>
      <c r="K3054" s="288"/>
    </row>
    <row r="3055" spans="4:11" x14ac:dyDescent="0.2">
      <c r="D3055" s="308"/>
      <c r="E3055" s="291"/>
      <c r="F3055" s="291"/>
      <c r="G3055" s="291"/>
      <c r="H3055" s="287"/>
      <c r="I3055" s="211"/>
      <c r="J3055" s="211"/>
      <c r="K3055" s="288"/>
    </row>
    <row r="3056" spans="4:11" x14ac:dyDescent="0.2">
      <c r="D3056" s="308"/>
      <c r="E3056" s="291"/>
      <c r="F3056" s="291"/>
      <c r="G3056" s="291"/>
      <c r="H3056" s="287"/>
      <c r="I3056" s="211"/>
      <c r="J3056" s="211"/>
      <c r="K3056" s="288"/>
    </row>
    <row r="3057" spans="4:11" x14ac:dyDescent="0.2">
      <c r="D3057" s="308"/>
      <c r="E3057" s="291"/>
      <c r="F3057" s="291"/>
      <c r="G3057" s="291"/>
      <c r="H3057" s="287"/>
      <c r="I3057" s="211"/>
      <c r="J3057" s="211"/>
      <c r="K3057" s="288"/>
    </row>
    <row r="3058" spans="4:11" x14ac:dyDescent="0.2">
      <c r="D3058" s="308"/>
      <c r="E3058" s="291"/>
      <c r="F3058" s="291"/>
      <c r="G3058" s="291"/>
      <c r="H3058" s="287"/>
      <c r="I3058" s="211"/>
      <c r="J3058" s="211"/>
      <c r="K3058" s="288"/>
    </row>
    <row r="3059" spans="4:11" x14ac:dyDescent="0.2">
      <c r="D3059" s="308"/>
      <c r="E3059" s="291"/>
      <c r="F3059" s="291"/>
      <c r="G3059" s="291"/>
      <c r="H3059" s="287"/>
      <c r="I3059" s="211"/>
      <c r="J3059" s="211"/>
      <c r="K3059" s="288"/>
    </row>
    <row r="3060" spans="4:11" x14ac:dyDescent="0.2">
      <c r="D3060" s="308"/>
      <c r="E3060" s="291"/>
      <c r="F3060" s="291"/>
      <c r="G3060" s="291"/>
      <c r="H3060" s="287"/>
      <c r="I3060" s="211"/>
      <c r="J3060" s="211"/>
      <c r="K3060" s="288"/>
    </row>
    <row r="3061" spans="4:11" x14ac:dyDescent="0.2">
      <c r="D3061" s="308"/>
      <c r="E3061" s="291"/>
      <c r="F3061" s="291"/>
      <c r="G3061" s="291"/>
      <c r="H3061" s="287"/>
      <c r="I3061" s="211"/>
      <c r="J3061" s="211"/>
      <c r="K3061" s="288"/>
    </row>
    <row r="3062" spans="4:11" x14ac:dyDescent="0.2">
      <c r="D3062" s="308"/>
      <c r="E3062" s="291"/>
      <c r="F3062" s="291"/>
      <c r="G3062" s="291"/>
      <c r="H3062" s="287"/>
      <c r="I3062" s="211"/>
      <c r="J3062" s="211"/>
      <c r="K3062" s="288"/>
    </row>
    <row r="3063" spans="4:11" x14ac:dyDescent="0.2">
      <c r="D3063" s="308"/>
      <c r="E3063" s="291"/>
      <c r="F3063" s="291"/>
      <c r="G3063" s="291"/>
      <c r="H3063" s="287"/>
      <c r="I3063" s="211"/>
      <c r="J3063" s="211"/>
      <c r="K3063" s="288"/>
    </row>
    <row r="3064" spans="4:11" x14ac:dyDescent="0.2">
      <c r="D3064" s="308"/>
      <c r="E3064" s="291"/>
      <c r="F3064" s="291"/>
      <c r="G3064" s="291"/>
      <c r="H3064" s="287"/>
      <c r="I3064" s="211"/>
      <c r="J3064" s="211"/>
      <c r="K3064" s="288"/>
    </row>
    <row r="3065" spans="4:11" x14ac:dyDescent="0.2">
      <c r="D3065" s="308"/>
      <c r="E3065" s="291"/>
      <c r="F3065" s="291"/>
      <c r="G3065" s="291"/>
      <c r="H3065" s="287"/>
      <c r="I3065" s="211"/>
      <c r="J3065" s="211"/>
      <c r="K3065" s="288"/>
    </row>
    <row r="3066" spans="4:11" x14ac:dyDescent="0.2">
      <c r="D3066" s="308"/>
      <c r="E3066" s="291"/>
      <c r="F3066" s="291"/>
      <c r="G3066" s="291"/>
      <c r="H3066" s="287"/>
      <c r="I3066" s="211"/>
      <c r="J3066" s="211"/>
      <c r="K3066" s="288"/>
    </row>
    <row r="3067" spans="4:11" x14ac:dyDescent="0.2">
      <c r="D3067" s="308"/>
      <c r="E3067" s="291"/>
      <c r="F3067" s="291"/>
      <c r="G3067" s="291"/>
      <c r="H3067" s="287"/>
      <c r="I3067" s="211"/>
      <c r="J3067" s="211"/>
      <c r="K3067" s="288"/>
    </row>
    <row r="3068" spans="4:11" x14ac:dyDescent="0.2">
      <c r="D3068" s="308"/>
      <c r="E3068" s="291"/>
      <c r="F3068" s="291"/>
      <c r="G3068" s="291"/>
      <c r="H3068" s="287"/>
      <c r="I3068" s="211"/>
      <c r="J3068" s="211"/>
      <c r="K3068" s="288"/>
    </row>
    <row r="3069" spans="4:11" x14ac:dyDescent="0.2">
      <c r="D3069" s="308"/>
      <c r="E3069" s="291"/>
      <c r="F3069" s="291"/>
      <c r="G3069" s="291"/>
      <c r="H3069" s="287"/>
      <c r="I3069" s="211"/>
      <c r="J3069" s="211"/>
      <c r="K3069" s="288"/>
    </row>
    <row r="3070" spans="4:11" x14ac:dyDescent="0.2">
      <c r="D3070" s="308"/>
      <c r="E3070" s="291"/>
      <c r="F3070" s="291"/>
      <c r="G3070" s="291"/>
      <c r="H3070" s="287"/>
      <c r="I3070" s="211"/>
      <c r="J3070" s="211"/>
      <c r="K3070" s="288"/>
    </row>
    <row r="3071" spans="4:11" x14ac:dyDescent="0.2">
      <c r="D3071" s="308"/>
      <c r="E3071" s="291"/>
      <c r="F3071" s="291"/>
      <c r="G3071" s="291"/>
      <c r="H3071" s="287"/>
      <c r="I3071" s="211"/>
      <c r="J3071" s="211"/>
      <c r="K3071" s="288"/>
    </row>
    <row r="3072" spans="4:11" x14ac:dyDescent="0.2">
      <c r="D3072" s="308"/>
      <c r="E3072" s="291"/>
      <c r="F3072" s="291"/>
      <c r="G3072" s="291"/>
      <c r="H3072" s="287"/>
      <c r="I3072" s="211"/>
      <c r="J3072" s="211"/>
      <c r="K3072" s="288"/>
    </row>
    <row r="3073" spans="4:11" x14ac:dyDescent="0.2">
      <c r="D3073" s="308"/>
      <c r="E3073" s="291"/>
      <c r="F3073" s="291"/>
      <c r="G3073" s="291"/>
      <c r="H3073" s="287"/>
      <c r="I3073" s="211"/>
      <c r="J3073" s="211"/>
      <c r="K3073" s="288"/>
    </row>
    <row r="3074" spans="4:11" x14ac:dyDescent="0.2">
      <c r="D3074" s="308"/>
      <c r="E3074" s="291"/>
      <c r="F3074" s="291"/>
      <c r="G3074" s="291"/>
      <c r="H3074" s="287"/>
      <c r="I3074" s="211"/>
      <c r="J3074" s="211"/>
      <c r="K3074" s="288"/>
    </row>
    <row r="3075" spans="4:11" x14ac:dyDescent="0.2">
      <c r="D3075" s="308"/>
      <c r="E3075" s="291"/>
      <c r="F3075" s="291"/>
      <c r="G3075" s="291"/>
      <c r="H3075" s="287"/>
      <c r="I3075" s="211"/>
      <c r="J3075" s="211"/>
      <c r="K3075" s="288"/>
    </row>
    <row r="3076" spans="4:11" x14ac:dyDescent="0.2">
      <c r="D3076" s="308"/>
      <c r="E3076" s="291"/>
      <c r="F3076" s="291"/>
      <c r="G3076" s="291"/>
      <c r="H3076" s="287"/>
      <c r="I3076" s="211"/>
      <c r="J3076" s="211"/>
      <c r="K3076" s="288"/>
    </row>
    <row r="3077" spans="4:11" x14ac:dyDescent="0.2">
      <c r="D3077" s="308"/>
      <c r="E3077" s="291"/>
      <c r="F3077" s="291"/>
      <c r="G3077" s="291"/>
      <c r="H3077" s="287"/>
      <c r="I3077" s="211"/>
      <c r="J3077" s="211"/>
      <c r="K3077" s="288"/>
    </row>
    <row r="3078" spans="4:11" x14ac:dyDescent="0.2">
      <c r="D3078" s="308"/>
      <c r="E3078" s="291"/>
      <c r="F3078" s="291"/>
      <c r="G3078" s="291"/>
      <c r="H3078" s="287"/>
      <c r="I3078" s="211"/>
      <c r="J3078" s="211"/>
      <c r="K3078" s="288"/>
    </row>
    <row r="3079" spans="4:11" x14ac:dyDescent="0.2">
      <c r="D3079" s="308"/>
      <c r="E3079" s="291"/>
      <c r="F3079" s="291"/>
      <c r="G3079" s="291"/>
      <c r="H3079" s="287"/>
      <c r="I3079" s="211"/>
      <c r="J3079" s="211"/>
      <c r="K3079" s="288"/>
    </row>
    <row r="3080" spans="4:11" x14ac:dyDescent="0.2">
      <c r="D3080" s="308"/>
      <c r="E3080" s="291"/>
      <c r="F3080" s="291"/>
      <c r="G3080" s="291"/>
      <c r="H3080" s="287"/>
      <c r="I3080" s="211"/>
      <c r="J3080" s="211"/>
      <c r="K3080" s="288"/>
    </row>
    <row r="3081" spans="4:11" x14ac:dyDescent="0.2">
      <c r="D3081" s="308"/>
      <c r="E3081" s="291"/>
      <c r="F3081" s="291"/>
      <c r="G3081" s="291"/>
      <c r="H3081" s="287"/>
      <c r="I3081" s="211"/>
      <c r="J3081" s="211"/>
      <c r="K3081" s="288"/>
    </row>
    <row r="3082" spans="4:11" x14ac:dyDescent="0.2">
      <c r="D3082" s="308"/>
      <c r="E3082" s="291"/>
      <c r="F3082" s="291"/>
      <c r="G3082" s="291"/>
      <c r="H3082" s="287"/>
      <c r="I3082" s="211"/>
      <c r="J3082" s="211"/>
      <c r="K3082" s="288"/>
    </row>
    <row r="3083" spans="4:11" x14ac:dyDescent="0.2">
      <c r="D3083" s="308"/>
      <c r="E3083" s="291"/>
      <c r="F3083" s="291"/>
      <c r="G3083" s="291"/>
      <c r="H3083" s="287"/>
      <c r="I3083" s="211"/>
      <c r="J3083" s="211"/>
      <c r="K3083" s="288"/>
    </row>
    <row r="3084" spans="4:11" x14ac:dyDescent="0.2">
      <c r="D3084" s="308"/>
      <c r="E3084" s="291"/>
      <c r="F3084" s="291"/>
      <c r="G3084" s="291"/>
      <c r="H3084" s="287"/>
      <c r="I3084" s="211"/>
      <c r="J3084" s="211"/>
      <c r="K3084" s="288"/>
    </row>
    <row r="3085" spans="4:11" x14ac:dyDescent="0.2">
      <c r="D3085" s="308"/>
      <c r="E3085" s="291"/>
      <c r="F3085" s="291"/>
      <c r="G3085" s="291"/>
      <c r="H3085" s="287"/>
      <c r="I3085" s="211"/>
      <c r="J3085" s="211"/>
      <c r="K3085" s="288"/>
    </row>
    <row r="3086" spans="4:11" x14ac:dyDescent="0.2">
      <c r="D3086" s="308"/>
      <c r="E3086" s="291"/>
      <c r="F3086" s="291"/>
      <c r="G3086" s="291"/>
      <c r="H3086" s="287"/>
      <c r="I3086" s="211"/>
      <c r="J3086" s="211"/>
      <c r="K3086" s="288"/>
    </row>
    <row r="3087" spans="4:11" x14ac:dyDescent="0.2">
      <c r="D3087" s="308"/>
      <c r="E3087" s="291"/>
      <c r="F3087" s="291"/>
      <c r="G3087" s="291"/>
      <c r="H3087" s="287"/>
      <c r="I3087" s="211"/>
      <c r="J3087" s="211"/>
      <c r="K3087" s="288"/>
    </row>
    <row r="3088" spans="4:11" x14ac:dyDescent="0.2">
      <c r="D3088" s="308"/>
      <c r="E3088" s="291"/>
      <c r="F3088" s="291"/>
      <c r="G3088" s="291"/>
      <c r="H3088" s="287"/>
      <c r="I3088" s="211"/>
      <c r="J3088" s="211"/>
      <c r="K3088" s="288"/>
    </row>
    <row r="3089" spans="4:11" x14ac:dyDescent="0.2">
      <c r="D3089" s="308"/>
      <c r="E3089" s="291"/>
      <c r="F3089" s="291"/>
      <c r="G3089" s="291"/>
      <c r="H3089" s="287"/>
      <c r="I3089" s="211"/>
      <c r="J3089" s="211"/>
      <c r="K3089" s="288"/>
    </row>
    <row r="3090" spans="4:11" x14ac:dyDescent="0.2">
      <c r="D3090" s="308"/>
      <c r="E3090" s="291"/>
      <c r="F3090" s="291"/>
      <c r="G3090" s="291"/>
      <c r="H3090" s="287"/>
      <c r="I3090" s="211"/>
      <c r="J3090" s="211"/>
      <c r="K3090" s="288"/>
    </row>
    <row r="3091" spans="4:11" x14ac:dyDescent="0.2">
      <c r="D3091" s="308"/>
      <c r="E3091" s="291"/>
      <c r="F3091" s="291"/>
      <c r="G3091" s="291"/>
      <c r="H3091" s="287"/>
      <c r="I3091" s="211"/>
      <c r="J3091" s="211"/>
      <c r="K3091" s="288"/>
    </row>
    <row r="3092" spans="4:11" x14ac:dyDescent="0.2">
      <c r="D3092" s="308"/>
      <c r="E3092" s="291"/>
      <c r="F3092" s="291"/>
      <c r="G3092" s="291"/>
      <c r="H3092" s="287"/>
      <c r="I3092" s="211"/>
      <c r="J3092" s="211"/>
      <c r="K3092" s="288"/>
    </row>
    <row r="3093" spans="4:11" x14ac:dyDescent="0.2">
      <c r="D3093" s="308"/>
      <c r="E3093" s="291"/>
      <c r="F3093" s="291"/>
      <c r="G3093" s="291"/>
      <c r="H3093" s="287"/>
      <c r="I3093" s="211"/>
      <c r="J3093" s="211"/>
      <c r="K3093" s="288"/>
    </row>
    <row r="3094" spans="4:11" x14ac:dyDescent="0.2">
      <c r="D3094" s="308"/>
      <c r="E3094" s="291"/>
      <c r="F3094" s="291"/>
      <c r="G3094" s="291"/>
      <c r="H3094" s="287"/>
      <c r="I3094" s="211"/>
      <c r="J3094" s="211"/>
      <c r="K3094" s="288"/>
    </row>
    <row r="3095" spans="4:11" x14ac:dyDescent="0.2">
      <c r="D3095" s="308"/>
      <c r="E3095" s="291"/>
      <c r="F3095" s="291"/>
      <c r="G3095" s="291"/>
      <c r="H3095" s="287"/>
      <c r="I3095" s="211"/>
      <c r="J3095" s="211"/>
      <c r="K3095" s="288"/>
    </row>
    <row r="3096" spans="4:11" x14ac:dyDescent="0.2">
      <c r="D3096" s="308"/>
      <c r="E3096" s="291"/>
      <c r="F3096" s="291"/>
      <c r="G3096" s="291"/>
      <c r="H3096" s="287"/>
      <c r="I3096" s="211"/>
      <c r="J3096" s="211"/>
      <c r="K3096" s="288"/>
    </row>
    <row r="3097" spans="4:11" x14ac:dyDescent="0.2">
      <c r="D3097" s="308"/>
      <c r="E3097" s="291"/>
      <c r="F3097" s="291"/>
      <c r="G3097" s="291"/>
      <c r="H3097" s="287"/>
      <c r="I3097" s="211"/>
      <c r="J3097" s="211"/>
      <c r="K3097" s="288"/>
    </row>
    <row r="3098" spans="4:11" x14ac:dyDescent="0.2">
      <c r="D3098" s="308"/>
      <c r="E3098" s="291"/>
      <c r="F3098" s="291"/>
      <c r="G3098" s="291"/>
      <c r="H3098" s="287"/>
      <c r="I3098" s="211"/>
      <c r="J3098" s="211"/>
      <c r="K3098" s="288"/>
    </row>
    <row r="3099" spans="4:11" x14ac:dyDescent="0.2">
      <c r="D3099" s="308"/>
      <c r="E3099" s="291"/>
      <c r="F3099" s="291"/>
      <c r="G3099" s="291"/>
      <c r="H3099" s="287"/>
      <c r="I3099" s="211"/>
      <c r="J3099" s="211"/>
      <c r="K3099" s="288"/>
    </row>
    <row r="3100" spans="4:11" x14ac:dyDescent="0.2">
      <c r="D3100" s="308"/>
      <c r="E3100" s="291"/>
      <c r="F3100" s="291"/>
      <c r="G3100" s="291"/>
      <c r="H3100" s="287"/>
      <c r="I3100" s="211"/>
      <c r="J3100" s="211"/>
      <c r="K3100" s="288"/>
    </row>
    <row r="3101" spans="4:11" x14ac:dyDescent="0.2">
      <c r="D3101" s="308"/>
      <c r="E3101" s="291"/>
      <c r="F3101" s="291"/>
      <c r="G3101" s="291"/>
      <c r="H3101" s="287"/>
      <c r="I3101" s="211"/>
      <c r="J3101" s="211"/>
      <c r="K3101" s="288"/>
    </row>
    <row r="3102" spans="4:11" x14ac:dyDescent="0.2">
      <c r="D3102" s="308"/>
      <c r="E3102" s="291"/>
      <c r="F3102" s="291"/>
      <c r="G3102" s="291"/>
      <c r="H3102" s="287"/>
      <c r="I3102" s="211"/>
      <c r="J3102" s="211"/>
      <c r="K3102" s="288"/>
    </row>
    <row r="3103" spans="4:11" x14ac:dyDescent="0.2">
      <c r="D3103" s="308"/>
      <c r="E3103" s="291"/>
      <c r="F3103" s="291"/>
      <c r="G3103" s="291"/>
      <c r="H3103" s="287"/>
      <c r="I3103" s="211"/>
      <c r="J3103" s="211"/>
      <c r="K3103" s="288"/>
    </row>
    <row r="3104" spans="4:11" x14ac:dyDescent="0.2">
      <c r="D3104" s="308"/>
      <c r="E3104" s="291"/>
      <c r="F3104" s="291"/>
      <c r="G3104" s="291"/>
      <c r="H3104" s="287"/>
      <c r="I3104" s="211"/>
      <c r="J3104" s="211"/>
      <c r="K3104" s="288"/>
    </row>
    <row r="3105" spans="4:11" x14ac:dyDescent="0.2">
      <c r="D3105" s="308"/>
      <c r="E3105" s="291"/>
      <c r="F3105" s="291"/>
      <c r="G3105" s="291"/>
      <c r="H3105" s="287"/>
      <c r="I3105" s="211"/>
      <c r="J3105" s="211"/>
      <c r="K3105" s="288"/>
    </row>
    <row r="3106" spans="4:11" x14ac:dyDescent="0.2">
      <c r="D3106" s="308"/>
      <c r="E3106" s="291"/>
      <c r="F3106" s="291"/>
      <c r="G3106" s="291"/>
      <c r="H3106" s="287"/>
      <c r="I3106" s="211"/>
      <c r="J3106" s="211"/>
      <c r="K3106" s="288"/>
    </row>
    <row r="3107" spans="4:11" x14ac:dyDescent="0.2">
      <c r="D3107" s="308"/>
      <c r="E3107" s="291"/>
      <c r="F3107" s="291"/>
      <c r="G3107" s="291"/>
      <c r="H3107" s="287"/>
      <c r="I3107" s="211"/>
      <c r="J3107" s="211"/>
      <c r="K3107" s="288"/>
    </row>
    <row r="3108" spans="4:11" x14ac:dyDescent="0.2">
      <c r="D3108" s="308"/>
      <c r="E3108" s="291"/>
      <c r="F3108" s="291"/>
      <c r="G3108" s="291"/>
      <c r="H3108" s="287"/>
      <c r="I3108" s="211"/>
      <c r="J3108" s="211"/>
      <c r="K3108" s="288"/>
    </row>
    <row r="3109" spans="4:11" x14ac:dyDescent="0.2">
      <c r="D3109" s="308"/>
      <c r="E3109" s="291"/>
      <c r="F3109" s="291"/>
      <c r="G3109" s="291"/>
      <c r="H3109" s="287"/>
      <c r="I3109" s="211"/>
      <c r="J3109" s="211"/>
      <c r="K3109" s="288"/>
    </row>
    <row r="3110" spans="4:11" x14ac:dyDescent="0.2">
      <c r="D3110" s="308"/>
      <c r="E3110" s="291"/>
      <c r="F3110" s="291"/>
      <c r="G3110" s="291"/>
      <c r="H3110" s="287"/>
      <c r="I3110" s="211"/>
      <c r="J3110" s="211"/>
      <c r="K3110" s="288"/>
    </row>
    <row r="3111" spans="4:11" x14ac:dyDescent="0.2">
      <c r="D3111" s="308"/>
      <c r="E3111" s="291"/>
      <c r="F3111" s="291"/>
      <c r="G3111" s="291"/>
      <c r="H3111" s="287"/>
      <c r="I3111" s="211"/>
      <c r="J3111" s="211"/>
      <c r="K3111" s="288"/>
    </row>
    <row r="3112" spans="4:11" x14ac:dyDescent="0.2">
      <c r="D3112" s="308"/>
      <c r="E3112" s="291"/>
      <c r="F3112" s="291"/>
      <c r="G3112" s="291"/>
      <c r="H3112" s="287"/>
      <c r="I3112" s="211"/>
      <c r="J3112" s="211"/>
      <c r="K3112" s="288"/>
    </row>
    <row r="3113" spans="4:11" x14ac:dyDescent="0.2">
      <c r="D3113" s="308"/>
      <c r="E3113" s="291"/>
      <c r="F3113" s="291"/>
      <c r="G3113" s="291"/>
      <c r="H3113" s="287"/>
      <c r="I3113" s="211"/>
      <c r="J3113" s="211"/>
      <c r="K3113" s="288"/>
    </row>
    <row r="3114" spans="4:11" x14ac:dyDescent="0.2">
      <c r="D3114" s="308"/>
      <c r="E3114" s="291"/>
      <c r="F3114" s="291"/>
      <c r="G3114" s="291"/>
      <c r="H3114" s="287"/>
      <c r="I3114" s="211"/>
      <c r="J3114" s="211"/>
      <c r="K3114" s="288"/>
    </row>
    <row r="3115" spans="4:11" x14ac:dyDescent="0.2">
      <c r="D3115" s="308"/>
      <c r="E3115" s="291"/>
      <c r="F3115" s="291"/>
      <c r="G3115" s="291"/>
      <c r="H3115" s="287"/>
      <c r="I3115" s="211"/>
      <c r="J3115" s="211"/>
      <c r="K3115" s="288"/>
    </row>
    <row r="3116" spans="4:11" x14ac:dyDescent="0.2">
      <c r="D3116" s="308"/>
      <c r="E3116" s="291"/>
      <c r="F3116" s="291"/>
      <c r="G3116" s="291"/>
      <c r="H3116" s="287"/>
      <c r="I3116" s="211"/>
      <c r="J3116" s="211"/>
      <c r="K3116" s="288"/>
    </row>
    <row r="3117" spans="4:11" x14ac:dyDescent="0.2">
      <c r="D3117" s="308"/>
      <c r="E3117" s="291"/>
      <c r="F3117" s="291"/>
      <c r="G3117" s="291"/>
      <c r="H3117" s="287"/>
      <c r="I3117" s="211"/>
      <c r="J3117" s="211"/>
      <c r="K3117" s="288"/>
    </row>
    <row r="3118" spans="4:11" x14ac:dyDescent="0.2">
      <c r="D3118" s="308"/>
      <c r="E3118" s="291"/>
      <c r="F3118" s="291"/>
      <c r="G3118" s="291"/>
      <c r="H3118" s="287"/>
      <c r="I3118" s="211"/>
      <c r="J3118" s="211"/>
      <c r="K3118" s="288"/>
    </row>
    <row r="3119" spans="4:11" x14ac:dyDescent="0.2">
      <c r="D3119" s="308"/>
      <c r="E3119" s="291"/>
      <c r="F3119" s="291"/>
      <c r="G3119" s="291"/>
      <c r="H3119" s="287"/>
      <c r="I3119" s="211"/>
      <c r="J3119" s="211"/>
      <c r="K3119" s="288"/>
    </row>
    <row r="3120" spans="4:11" x14ac:dyDescent="0.2">
      <c r="D3120" s="308"/>
      <c r="E3120" s="291"/>
      <c r="F3120" s="291"/>
      <c r="G3120" s="291"/>
      <c r="H3120" s="287"/>
      <c r="I3120" s="211"/>
      <c r="J3120" s="211"/>
      <c r="K3120" s="288"/>
    </row>
    <row r="3121" spans="4:11" x14ac:dyDescent="0.2">
      <c r="D3121" s="308"/>
      <c r="E3121" s="291"/>
      <c r="F3121" s="291"/>
      <c r="G3121" s="291"/>
      <c r="H3121" s="287"/>
      <c r="I3121" s="211"/>
      <c r="J3121" s="211"/>
      <c r="K3121" s="288"/>
    </row>
    <row r="3122" spans="4:11" x14ac:dyDescent="0.2">
      <c r="D3122" s="308"/>
      <c r="E3122" s="291"/>
      <c r="F3122" s="291"/>
      <c r="G3122" s="291"/>
      <c r="H3122" s="287"/>
      <c r="I3122" s="211"/>
      <c r="J3122" s="211"/>
      <c r="K3122" s="288"/>
    </row>
    <row r="3123" spans="4:11" x14ac:dyDescent="0.2">
      <c r="D3123" s="308"/>
      <c r="E3123" s="291"/>
      <c r="F3123" s="291"/>
      <c r="G3123" s="291"/>
      <c r="H3123" s="287"/>
      <c r="I3123" s="211"/>
      <c r="J3123" s="211"/>
      <c r="K3123" s="288"/>
    </row>
    <row r="3124" spans="4:11" x14ac:dyDescent="0.2">
      <c r="D3124" s="308"/>
      <c r="E3124" s="291"/>
      <c r="F3124" s="291"/>
      <c r="G3124" s="291"/>
      <c r="H3124" s="287"/>
      <c r="I3124" s="211"/>
      <c r="J3124" s="211"/>
      <c r="K3124" s="288"/>
    </row>
    <row r="3125" spans="4:11" x14ac:dyDescent="0.2">
      <c r="D3125" s="308"/>
      <c r="E3125" s="291"/>
      <c r="F3125" s="291"/>
      <c r="G3125" s="291"/>
      <c r="H3125" s="287"/>
      <c r="I3125" s="211"/>
      <c r="J3125" s="211"/>
      <c r="K3125" s="288"/>
    </row>
    <row r="3126" spans="4:11" x14ac:dyDescent="0.2">
      <c r="D3126" s="308"/>
      <c r="E3126" s="291"/>
      <c r="F3126" s="291"/>
      <c r="G3126" s="291"/>
      <c r="H3126" s="287"/>
      <c r="I3126" s="211"/>
      <c r="J3126" s="211"/>
      <c r="K3126" s="288"/>
    </row>
    <row r="3127" spans="4:11" x14ac:dyDescent="0.2">
      <c r="D3127" s="308"/>
      <c r="E3127" s="291"/>
      <c r="F3127" s="291"/>
      <c r="G3127" s="291"/>
      <c r="H3127" s="287"/>
      <c r="I3127" s="211"/>
      <c r="J3127" s="211"/>
      <c r="K3127" s="288"/>
    </row>
    <row r="3128" spans="4:11" x14ac:dyDescent="0.2">
      <c r="D3128" s="308"/>
      <c r="E3128" s="291"/>
      <c r="F3128" s="291"/>
      <c r="G3128" s="291"/>
      <c r="H3128" s="287"/>
      <c r="I3128" s="211"/>
      <c r="J3128" s="211"/>
      <c r="K3128" s="288"/>
    </row>
    <row r="3129" spans="4:11" x14ac:dyDescent="0.2">
      <c r="D3129" s="308"/>
      <c r="E3129" s="291"/>
      <c r="F3129" s="291"/>
      <c r="G3129" s="291"/>
      <c r="H3129" s="287"/>
      <c r="I3129" s="211"/>
      <c r="J3129" s="211"/>
      <c r="K3129" s="288"/>
    </row>
    <row r="3130" spans="4:11" x14ac:dyDescent="0.2">
      <c r="D3130" s="308"/>
      <c r="E3130" s="291"/>
      <c r="F3130" s="291"/>
      <c r="G3130" s="291"/>
      <c r="H3130" s="287"/>
      <c r="I3130" s="211"/>
      <c r="J3130" s="211"/>
      <c r="K3130" s="288"/>
    </row>
    <row r="3131" spans="4:11" x14ac:dyDescent="0.2">
      <c r="D3131" s="308"/>
      <c r="E3131" s="291"/>
      <c r="F3131" s="291"/>
      <c r="G3131" s="291"/>
      <c r="H3131" s="287"/>
      <c r="I3131" s="211"/>
      <c r="J3131" s="211"/>
      <c r="K3131" s="288"/>
    </row>
    <row r="3132" spans="4:11" x14ac:dyDescent="0.2">
      <c r="D3132" s="308"/>
      <c r="E3132" s="291"/>
      <c r="F3132" s="291"/>
      <c r="G3132" s="291"/>
      <c r="H3132" s="287"/>
      <c r="I3132" s="211"/>
      <c r="J3132" s="211"/>
      <c r="K3132" s="288"/>
    </row>
    <row r="3133" spans="4:11" x14ac:dyDescent="0.2">
      <c r="D3133" s="308"/>
      <c r="E3133" s="291"/>
      <c r="F3133" s="291"/>
      <c r="G3133" s="291"/>
      <c r="H3133" s="287"/>
      <c r="I3133" s="211"/>
      <c r="J3133" s="211"/>
      <c r="K3133" s="288"/>
    </row>
    <row r="3134" spans="4:11" x14ac:dyDescent="0.2">
      <c r="D3134" s="308"/>
      <c r="E3134" s="291"/>
      <c r="F3134" s="291"/>
      <c r="G3134" s="291"/>
      <c r="H3134" s="287"/>
      <c r="I3134" s="211"/>
      <c r="J3134" s="211"/>
      <c r="K3134" s="288"/>
    </row>
    <row r="3135" spans="4:11" x14ac:dyDescent="0.2">
      <c r="D3135" s="308"/>
      <c r="E3135" s="291"/>
      <c r="F3135" s="291"/>
      <c r="G3135" s="291"/>
      <c r="H3135" s="287"/>
      <c r="I3135" s="211"/>
      <c r="J3135" s="211"/>
      <c r="K3135" s="288"/>
    </row>
    <row r="3136" spans="4:11" x14ac:dyDescent="0.2">
      <c r="D3136" s="308"/>
      <c r="E3136" s="291"/>
      <c r="F3136" s="291"/>
      <c r="G3136" s="291"/>
      <c r="H3136" s="287"/>
      <c r="I3136" s="211"/>
      <c r="J3136" s="211"/>
      <c r="K3136" s="288"/>
    </row>
    <row r="3137" spans="4:11" x14ac:dyDescent="0.2">
      <c r="D3137" s="308"/>
      <c r="E3137" s="291"/>
      <c r="F3137" s="291"/>
      <c r="G3137" s="291"/>
      <c r="H3137" s="287"/>
      <c r="I3137" s="211"/>
      <c r="J3137" s="211"/>
      <c r="K3137" s="288"/>
    </row>
    <row r="3138" spans="4:11" x14ac:dyDescent="0.2">
      <c r="D3138" s="308"/>
      <c r="E3138" s="291"/>
      <c r="F3138" s="291"/>
      <c r="G3138" s="291"/>
      <c r="H3138" s="287"/>
      <c r="I3138" s="211"/>
      <c r="J3138" s="211"/>
      <c r="K3138" s="288"/>
    </row>
    <row r="3139" spans="4:11" x14ac:dyDescent="0.2">
      <c r="D3139" s="308"/>
      <c r="E3139" s="291"/>
      <c r="F3139" s="291"/>
      <c r="G3139" s="291"/>
      <c r="H3139" s="287"/>
      <c r="I3139" s="211"/>
      <c r="J3139" s="211"/>
      <c r="K3139" s="288"/>
    </row>
    <row r="3140" spans="4:11" x14ac:dyDescent="0.2">
      <c r="D3140" s="308"/>
      <c r="E3140" s="291"/>
      <c r="F3140" s="291"/>
      <c r="G3140" s="291"/>
      <c r="H3140" s="287"/>
      <c r="I3140" s="211"/>
      <c r="J3140" s="211"/>
      <c r="K3140" s="288"/>
    </row>
    <row r="3141" spans="4:11" x14ac:dyDescent="0.2">
      <c r="D3141" s="308"/>
      <c r="E3141" s="291"/>
      <c r="F3141" s="291"/>
      <c r="G3141" s="291"/>
      <c r="H3141" s="287"/>
      <c r="I3141" s="211"/>
      <c r="J3141" s="211"/>
      <c r="K3141" s="288"/>
    </row>
    <row r="3142" spans="4:11" x14ac:dyDescent="0.2">
      <c r="D3142" s="308"/>
      <c r="E3142" s="291"/>
      <c r="F3142" s="291"/>
      <c r="G3142" s="291"/>
      <c r="H3142" s="287"/>
      <c r="I3142" s="211"/>
      <c r="J3142" s="211"/>
      <c r="K3142" s="288"/>
    </row>
    <row r="3143" spans="4:11" x14ac:dyDescent="0.2">
      <c r="D3143" s="308"/>
      <c r="E3143" s="291"/>
      <c r="F3143" s="291"/>
      <c r="G3143" s="291"/>
      <c r="H3143" s="287"/>
      <c r="I3143" s="211"/>
      <c r="J3143" s="211"/>
      <c r="K3143" s="288"/>
    </row>
    <row r="3144" spans="4:11" x14ac:dyDescent="0.2">
      <c r="D3144" s="308"/>
      <c r="E3144" s="291"/>
      <c r="F3144" s="291"/>
      <c r="G3144" s="291"/>
      <c r="H3144" s="287"/>
      <c r="I3144" s="211"/>
      <c r="J3144" s="211"/>
      <c r="K3144" s="288"/>
    </row>
    <row r="3145" spans="4:11" x14ac:dyDescent="0.2">
      <c r="D3145" s="308"/>
      <c r="E3145" s="291"/>
      <c r="F3145" s="291"/>
      <c r="G3145" s="291"/>
      <c r="H3145" s="287"/>
      <c r="I3145" s="211"/>
      <c r="J3145" s="211"/>
      <c r="K3145" s="288"/>
    </row>
    <row r="3146" spans="4:11" x14ac:dyDescent="0.2">
      <c r="D3146" s="308"/>
      <c r="E3146" s="291"/>
      <c r="F3146" s="291"/>
      <c r="G3146" s="291"/>
      <c r="H3146" s="287"/>
      <c r="I3146" s="211"/>
      <c r="J3146" s="211"/>
      <c r="K3146" s="288"/>
    </row>
    <row r="3147" spans="4:11" x14ac:dyDescent="0.2">
      <c r="D3147" s="308"/>
      <c r="E3147" s="291"/>
      <c r="F3147" s="291"/>
      <c r="G3147" s="291"/>
      <c r="H3147" s="287"/>
      <c r="I3147" s="211"/>
      <c r="J3147" s="211"/>
      <c r="K3147" s="288"/>
    </row>
    <row r="3148" spans="4:11" x14ac:dyDescent="0.2">
      <c r="D3148" s="308"/>
      <c r="E3148" s="291"/>
      <c r="F3148" s="291"/>
      <c r="G3148" s="291"/>
      <c r="H3148" s="287"/>
      <c r="I3148" s="211"/>
      <c r="J3148" s="211"/>
      <c r="K3148" s="288"/>
    </row>
    <row r="3149" spans="4:11" x14ac:dyDescent="0.2">
      <c r="D3149" s="308"/>
      <c r="E3149" s="291"/>
      <c r="F3149" s="291"/>
      <c r="G3149" s="291"/>
      <c r="H3149" s="287"/>
      <c r="I3149" s="211"/>
      <c r="J3149" s="211"/>
      <c r="K3149" s="288"/>
    </row>
    <row r="3150" spans="4:11" x14ac:dyDescent="0.2">
      <c r="D3150" s="308"/>
      <c r="E3150" s="291"/>
      <c r="F3150" s="291"/>
      <c r="G3150" s="291"/>
      <c r="H3150" s="287"/>
      <c r="I3150" s="211"/>
      <c r="J3150" s="211"/>
      <c r="K3150" s="288"/>
    </row>
    <row r="3151" spans="4:11" x14ac:dyDescent="0.2">
      <c r="D3151" s="308"/>
      <c r="E3151" s="291"/>
      <c r="F3151" s="291"/>
      <c r="G3151" s="291"/>
      <c r="H3151" s="287"/>
      <c r="I3151" s="211"/>
      <c r="J3151" s="211"/>
      <c r="K3151" s="288"/>
    </row>
    <row r="3152" spans="4:11" x14ac:dyDescent="0.2">
      <c r="D3152" s="308"/>
      <c r="E3152" s="291"/>
      <c r="F3152" s="291"/>
      <c r="G3152" s="291"/>
      <c r="H3152" s="287"/>
      <c r="I3152" s="211"/>
      <c r="J3152" s="211"/>
      <c r="K3152" s="288"/>
    </row>
    <row r="3153" spans="4:11" x14ac:dyDescent="0.2">
      <c r="D3153" s="308"/>
      <c r="E3153" s="291"/>
      <c r="F3153" s="291"/>
      <c r="G3153" s="291"/>
      <c r="H3153" s="287"/>
      <c r="I3153" s="211"/>
      <c r="J3153" s="211"/>
      <c r="K3153" s="288"/>
    </row>
    <row r="3154" spans="4:11" x14ac:dyDescent="0.2">
      <c r="D3154" s="308"/>
      <c r="E3154" s="291"/>
      <c r="F3154" s="291"/>
      <c r="G3154" s="291"/>
      <c r="H3154" s="287"/>
      <c r="I3154" s="211"/>
      <c r="J3154" s="211"/>
      <c r="K3154" s="288"/>
    </row>
    <row r="3155" spans="4:11" x14ac:dyDescent="0.2">
      <c r="D3155" s="308"/>
      <c r="E3155" s="291"/>
      <c r="F3155" s="291"/>
      <c r="G3155" s="291"/>
      <c r="H3155" s="287"/>
      <c r="I3155" s="211"/>
      <c r="J3155" s="211"/>
      <c r="K3155" s="288"/>
    </row>
    <row r="3156" spans="4:11" x14ac:dyDescent="0.2">
      <c r="D3156" s="308"/>
      <c r="E3156" s="291"/>
      <c r="F3156" s="291"/>
      <c r="G3156" s="291"/>
      <c r="H3156" s="287"/>
      <c r="I3156" s="211"/>
      <c r="J3156" s="211"/>
      <c r="K3156" s="288"/>
    </row>
    <row r="3157" spans="4:11" x14ac:dyDescent="0.2">
      <c r="D3157" s="308"/>
      <c r="E3157" s="291"/>
      <c r="F3157" s="291"/>
      <c r="G3157" s="291"/>
      <c r="H3157" s="287"/>
      <c r="I3157" s="211"/>
      <c r="J3157" s="211"/>
      <c r="K3157" s="288"/>
    </row>
    <row r="3158" spans="4:11" x14ac:dyDescent="0.2">
      <c r="D3158" s="308"/>
      <c r="E3158" s="291"/>
      <c r="F3158" s="291"/>
      <c r="G3158" s="291"/>
      <c r="H3158" s="287"/>
      <c r="I3158" s="211"/>
      <c r="J3158" s="211"/>
      <c r="K3158" s="288"/>
    </row>
    <row r="3159" spans="4:11" x14ac:dyDescent="0.2">
      <c r="D3159" s="308"/>
      <c r="E3159" s="291"/>
      <c r="F3159" s="291"/>
      <c r="G3159" s="291"/>
      <c r="H3159" s="287"/>
      <c r="I3159" s="211"/>
      <c r="J3159" s="211"/>
      <c r="K3159" s="288"/>
    </row>
    <row r="3160" spans="4:11" x14ac:dyDescent="0.2">
      <c r="D3160" s="308"/>
      <c r="E3160" s="291"/>
      <c r="F3160" s="291"/>
      <c r="G3160" s="291"/>
      <c r="H3160" s="287"/>
      <c r="I3160" s="211"/>
      <c r="J3160" s="211"/>
      <c r="K3160" s="288"/>
    </row>
    <row r="3161" spans="4:11" x14ac:dyDescent="0.2">
      <c r="D3161" s="308"/>
      <c r="E3161" s="291"/>
      <c r="F3161" s="291"/>
      <c r="G3161" s="291"/>
      <c r="H3161" s="287"/>
      <c r="I3161" s="211"/>
      <c r="J3161" s="211"/>
      <c r="K3161" s="288"/>
    </row>
    <row r="3162" spans="4:11" x14ac:dyDescent="0.2">
      <c r="D3162" s="308"/>
      <c r="E3162" s="291"/>
      <c r="F3162" s="291"/>
      <c r="G3162" s="291"/>
      <c r="H3162" s="287"/>
      <c r="I3162" s="211"/>
      <c r="J3162" s="211"/>
      <c r="K3162" s="288"/>
    </row>
    <row r="3163" spans="4:11" x14ac:dyDescent="0.2">
      <c r="D3163" s="308"/>
      <c r="E3163" s="291"/>
      <c r="F3163" s="291"/>
      <c r="G3163" s="291"/>
      <c r="H3163" s="287"/>
      <c r="I3163" s="211"/>
      <c r="J3163" s="211"/>
      <c r="K3163" s="288"/>
    </row>
    <row r="3164" spans="4:11" x14ac:dyDescent="0.2">
      <c r="D3164" s="308"/>
      <c r="E3164" s="291"/>
      <c r="F3164" s="291"/>
      <c r="G3164" s="291"/>
      <c r="H3164" s="287"/>
      <c r="I3164" s="211"/>
      <c r="J3164" s="211"/>
      <c r="K3164" s="288"/>
    </row>
    <row r="3165" spans="4:11" x14ac:dyDescent="0.2">
      <c r="D3165" s="308"/>
      <c r="E3165" s="291"/>
      <c r="F3165" s="291"/>
      <c r="G3165" s="291"/>
      <c r="H3165" s="287"/>
      <c r="I3165" s="211"/>
      <c r="J3165" s="211"/>
      <c r="K3165" s="288"/>
    </row>
    <row r="3166" spans="4:11" x14ac:dyDescent="0.2">
      <c r="D3166" s="308"/>
      <c r="E3166" s="291"/>
      <c r="F3166" s="291"/>
      <c r="G3166" s="291"/>
      <c r="H3166" s="287"/>
      <c r="I3166" s="211"/>
      <c r="J3166" s="211"/>
      <c r="K3166" s="288"/>
    </row>
    <row r="3167" spans="4:11" x14ac:dyDescent="0.2">
      <c r="D3167" s="308"/>
      <c r="E3167" s="291"/>
      <c r="F3167" s="291"/>
      <c r="G3167" s="291"/>
      <c r="H3167" s="287"/>
      <c r="I3167" s="211"/>
      <c r="J3167" s="211"/>
      <c r="K3167" s="288"/>
    </row>
    <row r="3168" spans="4:11" x14ac:dyDescent="0.2">
      <c r="D3168" s="308"/>
      <c r="E3168" s="291"/>
      <c r="F3168" s="291"/>
      <c r="G3168" s="291"/>
      <c r="H3168" s="287"/>
      <c r="I3168" s="211"/>
      <c r="J3168" s="211"/>
      <c r="K3168" s="288"/>
    </row>
    <row r="3169" spans="4:11" x14ac:dyDescent="0.2">
      <c r="D3169" s="308"/>
      <c r="E3169" s="291"/>
      <c r="F3169" s="291"/>
      <c r="G3169" s="291"/>
      <c r="H3169" s="287"/>
      <c r="I3169" s="211"/>
      <c r="J3169" s="211"/>
      <c r="K3169" s="288"/>
    </row>
    <row r="3170" spans="4:11" x14ac:dyDescent="0.2">
      <c r="D3170" s="308"/>
      <c r="E3170" s="291"/>
      <c r="F3170" s="291"/>
      <c r="G3170" s="291"/>
      <c r="H3170" s="287"/>
      <c r="I3170" s="211"/>
      <c r="J3170" s="211"/>
      <c r="K3170" s="288"/>
    </row>
    <row r="3171" spans="4:11" x14ac:dyDescent="0.2">
      <c r="D3171" s="308"/>
      <c r="E3171" s="291"/>
      <c r="F3171" s="291"/>
      <c r="G3171" s="291"/>
      <c r="H3171" s="287"/>
      <c r="I3171" s="211"/>
      <c r="J3171" s="211"/>
      <c r="K3171" s="288"/>
    </row>
    <row r="3172" spans="4:11" x14ac:dyDescent="0.2">
      <c r="D3172" s="308"/>
      <c r="E3172" s="291"/>
      <c r="F3172" s="291"/>
      <c r="G3172" s="291"/>
      <c r="H3172" s="287"/>
      <c r="I3172" s="211"/>
      <c r="J3172" s="211"/>
      <c r="K3172" s="288"/>
    </row>
    <row r="3173" spans="4:11" x14ac:dyDescent="0.2">
      <c r="D3173" s="308"/>
      <c r="E3173" s="291"/>
      <c r="F3173" s="291"/>
      <c r="G3173" s="291"/>
      <c r="H3173" s="287"/>
      <c r="I3173" s="211"/>
      <c r="J3173" s="211"/>
      <c r="K3173" s="288"/>
    </row>
    <row r="3174" spans="4:11" x14ac:dyDescent="0.2">
      <c r="D3174" s="308"/>
      <c r="E3174" s="291"/>
      <c r="F3174" s="291"/>
      <c r="G3174" s="291"/>
      <c r="H3174" s="287"/>
      <c r="I3174" s="211"/>
      <c r="J3174" s="211"/>
      <c r="K3174" s="288"/>
    </row>
    <row r="3175" spans="4:11" x14ac:dyDescent="0.2">
      <c r="D3175" s="308"/>
      <c r="E3175" s="291"/>
      <c r="F3175" s="291"/>
      <c r="G3175" s="291"/>
      <c r="H3175" s="287"/>
      <c r="I3175" s="211"/>
      <c r="J3175" s="211"/>
      <c r="K3175" s="288"/>
    </row>
    <row r="3176" spans="4:11" x14ac:dyDescent="0.2">
      <c r="D3176" s="308"/>
      <c r="E3176" s="291"/>
      <c r="F3176" s="291"/>
      <c r="G3176" s="291"/>
      <c r="H3176" s="287"/>
      <c r="I3176" s="211"/>
      <c r="J3176" s="211"/>
      <c r="K3176" s="288"/>
    </row>
    <row r="3177" spans="4:11" x14ac:dyDescent="0.2">
      <c r="D3177" s="308"/>
      <c r="E3177" s="291"/>
      <c r="F3177" s="291"/>
      <c r="G3177" s="291"/>
      <c r="H3177" s="287"/>
      <c r="I3177" s="211"/>
      <c r="J3177" s="211"/>
      <c r="K3177" s="288"/>
    </row>
    <row r="3178" spans="4:11" x14ac:dyDescent="0.2">
      <c r="D3178" s="308"/>
      <c r="E3178" s="291"/>
      <c r="F3178" s="291"/>
      <c r="G3178" s="291"/>
      <c r="H3178" s="287"/>
      <c r="I3178" s="211"/>
      <c r="J3178" s="211"/>
      <c r="K3178" s="288"/>
    </row>
    <row r="3179" spans="4:11" x14ac:dyDescent="0.2">
      <c r="D3179" s="308"/>
      <c r="E3179" s="291"/>
      <c r="F3179" s="291"/>
      <c r="G3179" s="291"/>
      <c r="H3179" s="287"/>
      <c r="I3179" s="211"/>
      <c r="J3179" s="211"/>
      <c r="K3179" s="288"/>
    </row>
    <row r="3180" spans="4:11" x14ac:dyDescent="0.2">
      <c r="D3180" s="308"/>
      <c r="E3180" s="291"/>
      <c r="F3180" s="291"/>
      <c r="G3180" s="291"/>
      <c r="H3180" s="287"/>
      <c r="I3180" s="211"/>
      <c r="J3180" s="211"/>
      <c r="K3180" s="288"/>
    </row>
    <row r="3181" spans="4:11" x14ac:dyDescent="0.2">
      <c r="D3181" s="308"/>
      <c r="E3181" s="291"/>
      <c r="F3181" s="291"/>
      <c r="G3181" s="291"/>
      <c r="H3181" s="287"/>
      <c r="I3181" s="211"/>
      <c r="J3181" s="211"/>
      <c r="K3181" s="288"/>
    </row>
    <row r="3182" spans="4:11" x14ac:dyDescent="0.2">
      <c r="D3182" s="308"/>
      <c r="E3182" s="291"/>
      <c r="F3182" s="291"/>
      <c r="G3182" s="291"/>
      <c r="H3182" s="287"/>
      <c r="I3182" s="211"/>
      <c r="J3182" s="211"/>
      <c r="K3182" s="288"/>
    </row>
    <row r="3183" spans="4:11" x14ac:dyDescent="0.2">
      <c r="D3183" s="308"/>
      <c r="E3183" s="291"/>
      <c r="F3183" s="291"/>
      <c r="G3183" s="291"/>
      <c r="H3183" s="287"/>
      <c r="I3183" s="211"/>
      <c r="J3183" s="211"/>
      <c r="K3183" s="288"/>
    </row>
    <row r="3184" spans="4:11" x14ac:dyDescent="0.2">
      <c r="D3184" s="308"/>
      <c r="E3184" s="291"/>
      <c r="F3184" s="291"/>
      <c r="G3184" s="291"/>
      <c r="H3184" s="287"/>
      <c r="I3184" s="211"/>
      <c r="J3184" s="211"/>
      <c r="K3184" s="288"/>
    </row>
    <row r="3185" spans="4:11" x14ac:dyDescent="0.2">
      <c r="D3185" s="308"/>
      <c r="E3185" s="291"/>
      <c r="F3185" s="291"/>
      <c r="G3185" s="291"/>
      <c r="H3185" s="287"/>
      <c r="I3185" s="211"/>
      <c r="J3185" s="211"/>
      <c r="K3185" s="288"/>
    </row>
    <row r="3186" spans="4:11" x14ac:dyDescent="0.2">
      <c r="D3186" s="308"/>
      <c r="E3186" s="291"/>
      <c r="F3186" s="291"/>
      <c r="G3186" s="291"/>
      <c r="H3186" s="287"/>
      <c r="I3186" s="211"/>
      <c r="J3186" s="211"/>
      <c r="K3186" s="288"/>
    </row>
    <row r="3187" spans="4:11" x14ac:dyDescent="0.2">
      <c r="D3187" s="308"/>
      <c r="E3187" s="291"/>
      <c r="F3187" s="291"/>
      <c r="G3187" s="291"/>
      <c r="H3187" s="287"/>
      <c r="I3187" s="211"/>
      <c r="J3187" s="211"/>
      <c r="K3187" s="288"/>
    </row>
    <row r="3188" spans="4:11" x14ac:dyDescent="0.2">
      <c r="D3188" s="308"/>
      <c r="E3188" s="291"/>
      <c r="F3188" s="291"/>
      <c r="G3188" s="291"/>
      <c r="H3188" s="287"/>
      <c r="I3188" s="211"/>
      <c r="J3188" s="211"/>
      <c r="K3188" s="288"/>
    </row>
    <row r="3189" spans="4:11" x14ac:dyDescent="0.2">
      <c r="D3189" s="308"/>
      <c r="E3189" s="291"/>
      <c r="F3189" s="291"/>
      <c r="G3189" s="291"/>
      <c r="H3189" s="287"/>
      <c r="I3189" s="211"/>
      <c r="J3189" s="211"/>
      <c r="K3189" s="288"/>
    </row>
    <row r="3190" spans="4:11" x14ac:dyDescent="0.2">
      <c r="D3190" s="308"/>
      <c r="E3190" s="291"/>
      <c r="F3190" s="291"/>
      <c r="G3190" s="291"/>
      <c r="H3190" s="287"/>
      <c r="I3190" s="211"/>
      <c r="J3190" s="211"/>
      <c r="K3190" s="288"/>
    </row>
    <row r="3191" spans="4:11" x14ac:dyDescent="0.2">
      <c r="D3191" s="308"/>
      <c r="E3191" s="291"/>
      <c r="F3191" s="291"/>
      <c r="G3191" s="291"/>
      <c r="H3191" s="287"/>
      <c r="I3191" s="211"/>
      <c r="J3191" s="211"/>
      <c r="K3191" s="288"/>
    </row>
    <row r="3192" spans="4:11" x14ac:dyDescent="0.2">
      <c r="D3192" s="308"/>
      <c r="E3192" s="291"/>
      <c r="F3192" s="291"/>
      <c r="G3192" s="291"/>
      <c r="H3192" s="287"/>
      <c r="I3192" s="211"/>
      <c r="J3192" s="211"/>
      <c r="K3192" s="288"/>
    </row>
    <row r="3193" spans="4:11" x14ac:dyDescent="0.2">
      <c r="D3193" s="308"/>
      <c r="E3193" s="291"/>
      <c r="F3193" s="291"/>
      <c r="G3193" s="291"/>
      <c r="H3193" s="287"/>
      <c r="I3193" s="211"/>
      <c r="J3193" s="211"/>
      <c r="K3193" s="288"/>
    </row>
    <row r="3194" spans="4:11" x14ac:dyDescent="0.2">
      <c r="D3194" s="308"/>
      <c r="E3194" s="291"/>
      <c r="F3194" s="291"/>
      <c r="G3194" s="291"/>
      <c r="H3194" s="287"/>
      <c r="I3194" s="211"/>
      <c r="J3194" s="211"/>
      <c r="K3194" s="288"/>
    </row>
    <row r="3195" spans="4:11" x14ac:dyDescent="0.2">
      <c r="D3195" s="308"/>
      <c r="E3195" s="291"/>
      <c r="F3195" s="291"/>
      <c r="G3195" s="291"/>
      <c r="H3195" s="287"/>
      <c r="I3195" s="211"/>
      <c r="J3195" s="211"/>
      <c r="K3195" s="288"/>
    </row>
    <row r="3196" spans="4:11" x14ac:dyDescent="0.2">
      <c r="D3196" s="308"/>
      <c r="E3196" s="291"/>
      <c r="F3196" s="291"/>
      <c r="G3196" s="291"/>
      <c r="H3196" s="287"/>
      <c r="I3196" s="211"/>
      <c r="J3196" s="211"/>
      <c r="K3196" s="288"/>
    </row>
    <row r="3197" spans="4:11" x14ac:dyDescent="0.2">
      <c r="D3197" s="308"/>
      <c r="E3197" s="291"/>
      <c r="F3197" s="291"/>
      <c r="G3197" s="291"/>
      <c r="H3197" s="287"/>
      <c r="I3197" s="211"/>
      <c r="J3197" s="211"/>
      <c r="K3197" s="288"/>
    </row>
    <row r="3198" spans="4:11" x14ac:dyDescent="0.2">
      <c r="D3198" s="308"/>
      <c r="E3198" s="291"/>
      <c r="F3198" s="291"/>
      <c r="G3198" s="291"/>
      <c r="H3198" s="287"/>
      <c r="I3198" s="211"/>
      <c r="J3198" s="211"/>
      <c r="K3198" s="288"/>
    </row>
    <row r="3199" spans="4:11" x14ac:dyDescent="0.2">
      <c r="D3199" s="308"/>
      <c r="E3199" s="291"/>
      <c r="F3199" s="291"/>
      <c r="G3199" s="291"/>
      <c r="H3199" s="287"/>
      <c r="I3199" s="211"/>
      <c r="J3199" s="211"/>
      <c r="K3199" s="288"/>
    </row>
    <row r="3200" spans="4:11" x14ac:dyDescent="0.2">
      <c r="D3200" s="308"/>
      <c r="E3200" s="291"/>
      <c r="F3200" s="291"/>
      <c r="G3200" s="291"/>
      <c r="H3200" s="287"/>
      <c r="I3200" s="211"/>
      <c r="J3200" s="211"/>
      <c r="K3200" s="288"/>
    </row>
    <row r="3201" spans="4:11" x14ac:dyDescent="0.2">
      <c r="D3201" s="308"/>
      <c r="E3201" s="291"/>
      <c r="F3201" s="291"/>
      <c r="G3201" s="291"/>
      <c r="H3201" s="287"/>
      <c r="I3201" s="211"/>
      <c r="J3201" s="211"/>
      <c r="K3201" s="288"/>
    </row>
    <row r="3202" spans="4:11" x14ac:dyDescent="0.2">
      <c r="D3202" s="308"/>
      <c r="E3202" s="291"/>
      <c r="F3202" s="291"/>
      <c r="G3202" s="291"/>
      <c r="H3202" s="287"/>
      <c r="I3202" s="211"/>
      <c r="J3202" s="211"/>
      <c r="K3202" s="288"/>
    </row>
    <row r="3203" spans="4:11" x14ac:dyDescent="0.2">
      <c r="D3203" s="308"/>
      <c r="E3203" s="291"/>
      <c r="F3203" s="291"/>
      <c r="G3203" s="291"/>
      <c r="H3203" s="287"/>
      <c r="I3203" s="211"/>
      <c r="J3203" s="211"/>
      <c r="K3203" s="288"/>
    </row>
    <row r="3204" spans="4:11" x14ac:dyDescent="0.2">
      <c r="D3204" s="308"/>
      <c r="E3204" s="291"/>
      <c r="F3204" s="291"/>
      <c r="G3204" s="291"/>
      <c r="H3204" s="287"/>
      <c r="I3204" s="211"/>
      <c r="J3204" s="211"/>
      <c r="K3204" s="288"/>
    </row>
    <row r="3205" spans="4:11" x14ac:dyDescent="0.2">
      <c r="D3205" s="308"/>
      <c r="E3205" s="291"/>
      <c r="F3205" s="291"/>
      <c r="G3205" s="291"/>
      <c r="H3205" s="287"/>
      <c r="I3205" s="211"/>
      <c r="J3205" s="211"/>
      <c r="K3205" s="288"/>
    </row>
    <row r="3206" spans="4:11" x14ac:dyDescent="0.2">
      <c r="D3206" s="308"/>
      <c r="E3206" s="291"/>
      <c r="F3206" s="291"/>
      <c r="G3206" s="291"/>
      <c r="H3206" s="287"/>
      <c r="I3206" s="211"/>
      <c r="J3206" s="211"/>
      <c r="K3206" s="288"/>
    </row>
    <row r="3207" spans="4:11" x14ac:dyDescent="0.2">
      <c r="D3207" s="308"/>
      <c r="E3207" s="291"/>
      <c r="F3207" s="291"/>
      <c r="G3207" s="291"/>
      <c r="H3207" s="287"/>
      <c r="I3207" s="211"/>
      <c r="J3207" s="211"/>
      <c r="K3207" s="288"/>
    </row>
    <row r="3208" spans="4:11" x14ac:dyDescent="0.2">
      <c r="D3208" s="308"/>
      <c r="E3208" s="291"/>
      <c r="F3208" s="291"/>
      <c r="G3208" s="291"/>
      <c r="H3208" s="287"/>
      <c r="I3208" s="211"/>
      <c r="J3208" s="211"/>
      <c r="K3208" s="288"/>
    </row>
    <row r="3209" spans="4:11" x14ac:dyDescent="0.2">
      <c r="D3209" s="308"/>
      <c r="E3209" s="291"/>
      <c r="F3209" s="291"/>
      <c r="G3209" s="291"/>
      <c r="H3209" s="287"/>
      <c r="I3209" s="211"/>
      <c r="J3209" s="211"/>
      <c r="K3209" s="288"/>
    </row>
    <row r="3210" spans="4:11" x14ac:dyDescent="0.2">
      <c r="D3210" s="308"/>
      <c r="E3210" s="291"/>
      <c r="F3210" s="291"/>
      <c r="G3210" s="291"/>
      <c r="H3210" s="287"/>
      <c r="I3210" s="211"/>
      <c r="J3210" s="211"/>
      <c r="K3210" s="288"/>
    </row>
    <row r="3211" spans="4:11" x14ac:dyDescent="0.2">
      <c r="D3211" s="308"/>
      <c r="E3211" s="291"/>
      <c r="F3211" s="291"/>
      <c r="G3211" s="291"/>
      <c r="H3211" s="287"/>
      <c r="I3211" s="211"/>
      <c r="J3211" s="211"/>
      <c r="K3211" s="288"/>
    </row>
    <row r="3212" spans="4:11" x14ac:dyDescent="0.2">
      <c r="D3212" s="308"/>
      <c r="E3212" s="291"/>
      <c r="F3212" s="291"/>
      <c r="G3212" s="291"/>
      <c r="H3212" s="287"/>
      <c r="I3212" s="211"/>
      <c r="J3212" s="211"/>
      <c r="K3212" s="288"/>
    </row>
    <row r="3213" spans="4:11" x14ac:dyDescent="0.2">
      <c r="D3213" s="308"/>
      <c r="E3213" s="291"/>
      <c r="F3213" s="291"/>
      <c r="G3213" s="291"/>
      <c r="H3213" s="287"/>
      <c r="I3213" s="211"/>
      <c r="J3213" s="211"/>
      <c r="K3213" s="288"/>
    </row>
    <row r="3214" spans="4:11" x14ac:dyDescent="0.2">
      <c r="D3214" s="308"/>
      <c r="E3214" s="291"/>
      <c r="F3214" s="291"/>
      <c r="G3214" s="291"/>
      <c r="H3214" s="287"/>
      <c r="I3214" s="211"/>
      <c r="J3214" s="211"/>
      <c r="K3214" s="288"/>
    </row>
    <row r="3215" spans="4:11" x14ac:dyDescent="0.2">
      <c r="D3215" s="308"/>
      <c r="E3215" s="291"/>
      <c r="F3215" s="291"/>
      <c r="G3215" s="291"/>
      <c r="H3215" s="287"/>
      <c r="I3215" s="211"/>
      <c r="J3215" s="211"/>
      <c r="K3215" s="288"/>
    </row>
    <row r="3216" spans="4:11" x14ac:dyDescent="0.2">
      <c r="D3216" s="308"/>
      <c r="E3216" s="291"/>
      <c r="F3216" s="291"/>
      <c r="G3216" s="291"/>
      <c r="H3216" s="287"/>
      <c r="I3216" s="211"/>
      <c r="J3216" s="211"/>
      <c r="K3216" s="288"/>
    </row>
    <row r="3217" spans="4:11" x14ac:dyDescent="0.2">
      <c r="D3217" s="308"/>
      <c r="E3217" s="291"/>
      <c r="F3217" s="291"/>
      <c r="G3217" s="291"/>
      <c r="H3217" s="287"/>
      <c r="I3217" s="211"/>
      <c r="J3217" s="211"/>
      <c r="K3217" s="288"/>
    </row>
    <row r="3218" spans="4:11" x14ac:dyDescent="0.2">
      <c r="D3218" s="308"/>
      <c r="E3218" s="291"/>
      <c r="F3218" s="291"/>
      <c r="G3218" s="291"/>
      <c r="H3218" s="287"/>
      <c r="I3218" s="211"/>
      <c r="J3218" s="211"/>
      <c r="K3218" s="288"/>
    </row>
    <row r="3219" spans="4:11" x14ac:dyDescent="0.2">
      <c r="D3219" s="308"/>
      <c r="E3219" s="291"/>
      <c r="F3219" s="291"/>
      <c r="G3219" s="291"/>
      <c r="H3219" s="287"/>
      <c r="I3219" s="211"/>
      <c r="J3219" s="211"/>
      <c r="K3219" s="288"/>
    </row>
    <row r="3220" spans="4:11" x14ac:dyDescent="0.2">
      <c r="D3220" s="308"/>
      <c r="E3220" s="291"/>
      <c r="F3220" s="291"/>
      <c r="G3220" s="291"/>
      <c r="H3220" s="287"/>
      <c r="I3220" s="211"/>
      <c r="J3220" s="211"/>
      <c r="K3220" s="288"/>
    </row>
    <row r="3221" spans="4:11" x14ac:dyDescent="0.2">
      <c r="D3221" s="308"/>
      <c r="E3221" s="291"/>
      <c r="F3221" s="291"/>
      <c r="G3221" s="291"/>
      <c r="H3221" s="287"/>
      <c r="I3221" s="211"/>
      <c r="J3221" s="211"/>
      <c r="K3221" s="288"/>
    </row>
    <row r="3222" spans="4:11" x14ac:dyDescent="0.2">
      <c r="D3222" s="308"/>
      <c r="E3222" s="291"/>
      <c r="F3222" s="291"/>
      <c r="G3222" s="291"/>
      <c r="H3222" s="287"/>
      <c r="I3222" s="211"/>
      <c r="J3222" s="211"/>
      <c r="K3222" s="288"/>
    </row>
    <row r="3223" spans="4:11" x14ac:dyDescent="0.2">
      <c r="D3223" s="308"/>
      <c r="E3223" s="291"/>
      <c r="F3223" s="291"/>
      <c r="G3223" s="291"/>
      <c r="H3223" s="287"/>
      <c r="I3223" s="211"/>
      <c r="J3223" s="211"/>
      <c r="K3223" s="288"/>
    </row>
    <row r="3224" spans="4:11" x14ac:dyDescent="0.2">
      <c r="D3224" s="308"/>
      <c r="E3224" s="291"/>
      <c r="F3224" s="291"/>
      <c r="G3224" s="291"/>
      <c r="H3224" s="287"/>
      <c r="I3224" s="211"/>
      <c r="J3224" s="211"/>
      <c r="K3224" s="288"/>
    </row>
    <row r="3225" spans="4:11" x14ac:dyDescent="0.2">
      <c r="D3225" s="308"/>
      <c r="E3225" s="291"/>
      <c r="F3225" s="291"/>
      <c r="G3225" s="291"/>
      <c r="H3225" s="287"/>
      <c r="I3225" s="211"/>
      <c r="J3225" s="211"/>
      <c r="K3225" s="288"/>
    </row>
    <row r="3226" spans="4:11" x14ac:dyDescent="0.2">
      <c r="D3226" s="308"/>
      <c r="E3226" s="291"/>
      <c r="F3226" s="291"/>
      <c r="G3226" s="291"/>
      <c r="H3226" s="287"/>
      <c r="I3226" s="211"/>
      <c r="J3226" s="211"/>
      <c r="K3226" s="288"/>
    </row>
    <row r="3227" spans="4:11" x14ac:dyDescent="0.2">
      <c r="D3227" s="308"/>
      <c r="E3227" s="291"/>
      <c r="F3227" s="291"/>
      <c r="G3227" s="291"/>
      <c r="H3227" s="287"/>
      <c r="I3227" s="211"/>
      <c r="J3227" s="211"/>
      <c r="K3227" s="288"/>
    </row>
    <row r="3228" spans="4:11" x14ac:dyDescent="0.2">
      <c r="D3228" s="308"/>
      <c r="E3228" s="291"/>
      <c r="F3228" s="291"/>
      <c r="G3228" s="291"/>
      <c r="H3228" s="287"/>
      <c r="I3228" s="211"/>
      <c r="J3228" s="211"/>
      <c r="K3228" s="288"/>
    </row>
    <row r="3229" spans="4:11" x14ac:dyDescent="0.2">
      <c r="D3229" s="308"/>
      <c r="E3229" s="291"/>
      <c r="F3229" s="291"/>
      <c r="G3229" s="291"/>
      <c r="H3229" s="287"/>
      <c r="I3229" s="211"/>
      <c r="J3229" s="211"/>
      <c r="K3229" s="288"/>
    </row>
    <row r="3230" spans="4:11" x14ac:dyDescent="0.2">
      <c r="D3230" s="308"/>
      <c r="E3230" s="291"/>
      <c r="F3230" s="291"/>
      <c r="G3230" s="291"/>
      <c r="H3230" s="287"/>
      <c r="I3230" s="211"/>
      <c r="J3230" s="211"/>
      <c r="K3230" s="288"/>
    </row>
    <row r="3231" spans="4:11" x14ac:dyDescent="0.2">
      <c r="D3231" s="308"/>
      <c r="E3231" s="291"/>
      <c r="F3231" s="291"/>
      <c r="G3231" s="291"/>
      <c r="H3231" s="287"/>
      <c r="I3231" s="211"/>
      <c r="J3231" s="211"/>
      <c r="K3231" s="288"/>
    </row>
    <row r="3232" spans="4:11" x14ac:dyDescent="0.2">
      <c r="D3232" s="308"/>
      <c r="E3232" s="291"/>
      <c r="F3232" s="291"/>
      <c r="G3232" s="291"/>
      <c r="H3232" s="287"/>
      <c r="I3232" s="211"/>
      <c r="J3232" s="211"/>
      <c r="K3232" s="288"/>
    </row>
    <row r="3233" spans="4:11" x14ac:dyDescent="0.2">
      <c r="D3233" s="308"/>
      <c r="E3233" s="291"/>
      <c r="F3233" s="291"/>
      <c r="G3233" s="291"/>
      <c r="H3233" s="287"/>
      <c r="I3233" s="211"/>
      <c r="J3233" s="211"/>
      <c r="K3233" s="288"/>
    </row>
    <row r="3234" spans="4:11" x14ac:dyDescent="0.2">
      <c r="D3234" s="308"/>
      <c r="E3234" s="291"/>
      <c r="F3234" s="291"/>
      <c r="G3234" s="291"/>
      <c r="H3234" s="287"/>
      <c r="I3234" s="211"/>
      <c r="J3234" s="211"/>
      <c r="K3234" s="288"/>
    </row>
    <row r="3235" spans="4:11" x14ac:dyDescent="0.2">
      <c r="D3235" s="308"/>
      <c r="E3235" s="291"/>
      <c r="F3235" s="291"/>
      <c r="G3235" s="291"/>
      <c r="H3235" s="287"/>
      <c r="I3235" s="211"/>
      <c r="J3235" s="211"/>
      <c r="K3235" s="288"/>
    </row>
    <row r="3236" spans="4:11" x14ac:dyDescent="0.2">
      <c r="D3236" s="308"/>
      <c r="E3236" s="291"/>
      <c r="F3236" s="291"/>
      <c r="G3236" s="291"/>
      <c r="H3236" s="287"/>
      <c r="I3236" s="211"/>
      <c r="J3236" s="211"/>
      <c r="K3236" s="288"/>
    </row>
    <row r="3237" spans="4:11" x14ac:dyDescent="0.2">
      <c r="D3237" s="308"/>
      <c r="E3237" s="291"/>
      <c r="F3237" s="291"/>
      <c r="G3237" s="291"/>
      <c r="H3237" s="287"/>
      <c r="I3237" s="211"/>
      <c r="J3237" s="211"/>
      <c r="K3237" s="288"/>
    </row>
    <row r="3238" spans="4:11" x14ac:dyDescent="0.2">
      <c r="D3238" s="308"/>
      <c r="E3238" s="291"/>
      <c r="F3238" s="291"/>
      <c r="G3238" s="291"/>
      <c r="H3238" s="287"/>
      <c r="I3238" s="211"/>
      <c r="J3238" s="211"/>
      <c r="K3238" s="288"/>
    </row>
    <row r="3239" spans="4:11" x14ac:dyDescent="0.2">
      <c r="D3239" s="308"/>
      <c r="E3239" s="291"/>
      <c r="F3239" s="291"/>
      <c r="G3239" s="291"/>
      <c r="H3239" s="287"/>
      <c r="I3239" s="211"/>
      <c r="J3239" s="211"/>
      <c r="K3239" s="288"/>
    </row>
    <row r="3240" spans="4:11" x14ac:dyDescent="0.2">
      <c r="D3240" s="308"/>
      <c r="E3240" s="291"/>
      <c r="F3240" s="291"/>
      <c r="G3240" s="291"/>
      <c r="H3240" s="287"/>
      <c r="I3240" s="211"/>
      <c r="J3240" s="211"/>
      <c r="K3240" s="288"/>
    </row>
    <row r="3241" spans="4:11" x14ac:dyDescent="0.2">
      <c r="D3241" s="308"/>
      <c r="E3241" s="291"/>
      <c r="F3241" s="291"/>
      <c r="G3241" s="291"/>
      <c r="H3241" s="287"/>
      <c r="I3241" s="211"/>
      <c r="J3241" s="211"/>
      <c r="K3241" s="288"/>
    </row>
    <row r="3242" spans="4:11" x14ac:dyDescent="0.2">
      <c r="D3242" s="308"/>
      <c r="E3242" s="291"/>
      <c r="F3242" s="291"/>
      <c r="G3242" s="291"/>
      <c r="H3242" s="287"/>
      <c r="I3242" s="211"/>
      <c r="J3242" s="211"/>
      <c r="K3242" s="288"/>
    </row>
    <row r="3243" spans="4:11" x14ac:dyDescent="0.2">
      <c r="D3243" s="308"/>
      <c r="E3243" s="291"/>
      <c r="F3243" s="291"/>
      <c r="G3243" s="291"/>
      <c r="H3243" s="287"/>
      <c r="I3243" s="211"/>
      <c r="J3243" s="211"/>
      <c r="K3243" s="288"/>
    </row>
    <row r="3244" spans="4:11" x14ac:dyDescent="0.2">
      <c r="D3244" s="308"/>
      <c r="E3244" s="291"/>
      <c r="F3244" s="291"/>
      <c r="G3244" s="291"/>
      <c r="H3244" s="287"/>
      <c r="I3244" s="211"/>
      <c r="J3244" s="211"/>
      <c r="K3244" s="288"/>
    </row>
    <row r="3245" spans="4:11" x14ac:dyDescent="0.2">
      <c r="D3245" s="308"/>
      <c r="E3245" s="291"/>
      <c r="F3245" s="291"/>
      <c r="G3245" s="291"/>
      <c r="H3245" s="287"/>
      <c r="I3245" s="211"/>
      <c r="J3245" s="211"/>
      <c r="K3245" s="288"/>
    </row>
    <row r="3246" spans="4:11" x14ac:dyDescent="0.2">
      <c r="D3246" s="308"/>
      <c r="E3246" s="291"/>
      <c r="F3246" s="291"/>
      <c r="G3246" s="291"/>
      <c r="H3246" s="287"/>
      <c r="I3246" s="211"/>
      <c r="J3246" s="211"/>
      <c r="K3246" s="288"/>
    </row>
    <row r="3247" spans="4:11" x14ac:dyDescent="0.2">
      <c r="D3247" s="308"/>
      <c r="E3247" s="291"/>
      <c r="F3247" s="291"/>
      <c r="G3247" s="291"/>
      <c r="H3247" s="287"/>
      <c r="I3247" s="211"/>
      <c r="J3247" s="211"/>
      <c r="K3247" s="288"/>
    </row>
    <row r="3248" spans="4:11" x14ac:dyDescent="0.2">
      <c r="D3248" s="308"/>
      <c r="E3248" s="291"/>
      <c r="F3248" s="291"/>
      <c r="G3248" s="291"/>
      <c r="H3248" s="287"/>
      <c r="I3248" s="211"/>
      <c r="J3248" s="211"/>
      <c r="K3248" s="288"/>
    </row>
    <row r="3249" spans="4:11" x14ac:dyDescent="0.2">
      <c r="D3249" s="308"/>
      <c r="E3249" s="291"/>
      <c r="F3249" s="291"/>
      <c r="G3249" s="291"/>
      <c r="H3249" s="287"/>
      <c r="I3249" s="211"/>
      <c r="J3249" s="211"/>
      <c r="K3249" s="288"/>
    </row>
    <row r="3250" spans="4:11" x14ac:dyDescent="0.2">
      <c r="D3250" s="308"/>
      <c r="E3250" s="291"/>
      <c r="F3250" s="291"/>
      <c r="G3250" s="291"/>
      <c r="H3250" s="287"/>
      <c r="I3250" s="211"/>
      <c r="J3250" s="211"/>
      <c r="K3250" s="288"/>
    </row>
    <row r="3251" spans="4:11" x14ac:dyDescent="0.2">
      <c r="D3251" s="308"/>
      <c r="E3251" s="291"/>
      <c r="F3251" s="291"/>
      <c r="G3251" s="291"/>
      <c r="H3251" s="287"/>
      <c r="I3251" s="211"/>
      <c r="J3251" s="211"/>
      <c r="K3251" s="288"/>
    </row>
    <row r="3252" spans="4:11" x14ac:dyDescent="0.2">
      <c r="D3252" s="308"/>
      <c r="E3252" s="291"/>
      <c r="F3252" s="291"/>
      <c r="G3252" s="291"/>
      <c r="H3252" s="287"/>
      <c r="I3252" s="211"/>
      <c r="J3252" s="211"/>
      <c r="K3252" s="288"/>
    </row>
    <row r="3253" spans="4:11" x14ac:dyDescent="0.2">
      <c r="D3253" s="308"/>
      <c r="E3253" s="291"/>
      <c r="F3253" s="291"/>
      <c r="G3253" s="291"/>
      <c r="H3253" s="287"/>
      <c r="I3253" s="211"/>
      <c r="J3253" s="211"/>
      <c r="K3253" s="288"/>
    </row>
    <row r="3254" spans="4:11" x14ac:dyDescent="0.2">
      <c r="D3254" s="308"/>
      <c r="E3254" s="291"/>
      <c r="F3254" s="291"/>
      <c r="G3254" s="291"/>
      <c r="H3254" s="287"/>
      <c r="I3254" s="211"/>
      <c r="J3254" s="211"/>
      <c r="K3254" s="288"/>
    </row>
    <row r="3255" spans="4:11" x14ac:dyDescent="0.2">
      <c r="D3255" s="308"/>
      <c r="E3255" s="291"/>
      <c r="F3255" s="291"/>
      <c r="G3255" s="291"/>
      <c r="H3255" s="287"/>
      <c r="I3255" s="211"/>
      <c r="J3255" s="211"/>
      <c r="K3255" s="288"/>
    </row>
    <row r="3256" spans="4:11" x14ac:dyDescent="0.2">
      <c r="D3256" s="308"/>
      <c r="E3256" s="291"/>
      <c r="F3256" s="291"/>
      <c r="G3256" s="291"/>
      <c r="H3256" s="287"/>
      <c r="I3256" s="211"/>
      <c r="J3256" s="211"/>
      <c r="K3256" s="288"/>
    </row>
    <row r="3257" spans="4:11" x14ac:dyDescent="0.2">
      <c r="D3257" s="308"/>
      <c r="E3257" s="291"/>
      <c r="F3257" s="291"/>
      <c r="G3257" s="291"/>
      <c r="H3257" s="287"/>
      <c r="I3257" s="211"/>
      <c r="J3257" s="211"/>
      <c r="K3257" s="288"/>
    </row>
    <row r="3258" spans="4:11" x14ac:dyDescent="0.2">
      <c r="D3258" s="308"/>
      <c r="E3258" s="291"/>
      <c r="F3258" s="291"/>
      <c r="G3258" s="291"/>
      <c r="H3258" s="287"/>
      <c r="I3258" s="211"/>
      <c r="J3258" s="211"/>
      <c r="K3258" s="288"/>
    </row>
    <row r="3259" spans="4:11" x14ac:dyDescent="0.2">
      <c r="D3259" s="308"/>
      <c r="E3259" s="291"/>
      <c r="F3259" s="291"/>
      <c r="G3259" s="291"/>
      <c r="H3259" s="287"/>
      <c r="I3259" s="211"/>
      <c r="J3259" s="211"/>
      <c r="K3259" s="288"/>
    </row>
    <row r="3260" spans="4:11" x14ac:dyDescent="0.2">
      <c r="D3260" s="308"/>
      <c r="E3260" s="291"/>
      <c r="F3260" s="291"/>
      <c r="G3260" s="291"/>
      <c r="H3260" s="287"/>
      <c r="I3260" s="211"/>
      <c r="J3260" s="211"/>
      <c r="K3260" s="288"/>
    </row>
    <row r="3261" spans="4:11" x14ac:dyDescent="0.2">
      <c r="D3261" s="308"/>
      <c r="E3261" s="291"/>
      <c r="F3261" s="291"/>
      <c r="G3261" s="291"/>
      <c r="H3261" s="287"/>
      <c r="I3261" s="211"/>
      <c r="J3261" s="211"/>
      <c r="K3261" s="288"/>
    </row>
    <row r="3262" spans="4:11" x14ac:dyDescent="0.2">
      <c r="D3262" s="308"/>
      <c r="E3262" s="291"/>
      <c r="F3262" s="291"/>
      <c r="G3262" s="291"/>
      <c r="H3262" s="287"/>
      <c r="I3262" s="211"/>
      <c r="J3262" s="211"/>
      <c r="K3262" s="288"/>
    </row>
    <row r="3263" spans="4:11" x14ac:dyDescent="0.2">
      <c r="D3263" s="308"/>
      <c r="E3263" s="291"/>
      <c r="F3263" s="291"/>
      <c r="G3263" s="291"/>
      <c r="H3263" s="287"/>
      <c r="I3263" s="211"/>
      <c r="J3263" s="211"/>
      <c r="K3263" s="288"/>
    </row>
    <row r="3264" spans="4:11" x14ac:dyDescent="0.2">
      <c r="D3264" s="308"/>
      <c r="E3264" s="291"/>
      <c r="F3264" s="291"/>
      <c r="G3264" s="291"/>
      <c r="H3264" s="287"/>
      <c r="I3264" s="211"/>
      <c r="J3264" s="211"/>
      <c r="K3264" s="288"/>
    </row>
    <row r="3265" spans="4:11" x14ac:dyDescent="0.2">
      <c r="D3265" s="308"/>
      <c r="E3265" s="291"/>
      <c r="F3265" s="291"/>
      <c r="G3265" s="291"/>
      <c r="H3265" s="287"/>
      <c r="I3265" s="211"/>
      <c r="J3265" s="211"/>
      <c r="K3265" s="288"/>
    </row>
    <row r="3266" spans="4:11" x14ac:dyDescent="0.2">
      <c r="D3266" s="308"/>
      <c r="E3266" s="291"/>
      <c r="F3266" s="291"/>
      <c r="G3266" s="291"/>
      <c r="H3266" s="287"/>
      <c r="I3266" s="211"/>
      <c r="J3266" s="211"/>
      <c r="K3266" s="288"/>
    </row>
    <row r="3267" spans="4:11" x14ac:dyDescent="0.2">
      <c r="D3267" s="308"/>
      <c r="E3267" s="291"/>
      <c r="F3267" s="291"/>
      <c r="G3267" s="291"/>
      <c r="H3267" s="287"/>
      <c r="I3267" s="211"/>
      <c r="J3267" s="211"/>
      <c r="K3267" s="288"/>
    </row>
    <row r="3268" spans="4:11" x14ac:dyDescent="0.2">
      <c r="D3268" s="308"/>
      <c r="E3268" s="291"/>
      <c r="F3268" s="291"/>
      <c r="G3268" s="291"/>
      <c r="H3268" s="287"/>
      <c r="I3268" s="211"/>
      <c r="J3268" s="211"/>
      <c r="K3268" s="288"/>
    </row>
    <row r="3269" spans="4:11" x14ac:dyDescent="0.2">
      <c r="D3269" s="308"/>
      <c r="E3269" s="291"/>
      <c r="F3269" s="291"/>
      <c r="G3269" s="291"/>
      <c r="H3269" s="287"/>
      <c r="I3269" s="211"/>
      <c r="J3269" s="211"/>
      <c r="K3269" s="288"/>
    </row>
    <row r="3270" spans="4:11" x14ac:dyDescent="0.2">
      <c r="D3270" s="308"/>
      <c r="E3270" s="291"/>
      <c r="F3270" s="291"/>
      <c r="G3270" s="291"/>
      <c r="H3270" s="287"/>
      <c r="I3270" s="211"/>
      <c r="J3270" s="211"/>
      <c r="K3270" s="288"/>
    </row>
    <row r="3271" spans="4:11" x14ac:dyDescent="0.2">
      <c r="D3271" s="308"/>
      <c r="E3271" s="291"/>
      <c r="F3271" s="291"/>
      <c r="G3271" s="291"/>
      <c r="H3271" s="287"/>
      <c r="I3271" s="211"/>
      <c r="J3271" s="211"/>
      <c r="K3271" s="288"/>
    </row>
    <row r="3272" spans="4:11" x14ac:dyDescent="0.2">
      <c r="D3272" s="308"/>
      <c r="E3272" s="291"/>
      <c r="F3272" s="291"/>
      <c r="G3272" s="291"/>
      <c r="H3272" s="287"/>
      <c r="I3272" s="211"/>
      <c r="J3272" s="211"/>
      <c r="K3272" s="288"/>
    </row>
    <row r="3273" spans="4:11" x14ac:dyDescent="0.2">
      <c r="D3273" s="308"/>
      <c r="E3273" s="291"/>
      <c r="F3273" s="291"/>
      <c r="G3273" s="291"/>
      <c r="H3273" s="287"/>
      <c r="I3273" s="211"/>
      <c r="J3273" s="211"/>
      <c r="K3273" s="288"/>
    </row>
    <row r="3274" spans="4:11" x14ac:dyDescent="0.2">
      <c r="D3274" s="308"/>
      <c r="E3274" s="291"/>
      <c r="F3274" s="291"/>
      <c r="G3274" s="291"/>
      <c r="H3274" s="287"/>
      <c r="I3274" s="211"/>
      <c r="J3274" s="211"/>
      <c r="K3274" s="288"/>
    </row>
    <row r="3275" spans="4:11" x14ac:dyDescent="0.2">
      <c r="D3275" s="308"/>
      <c r="E3275" s="291"/>
      <c r="F3275" s="291"/>
      <c r="G3275" s="291"/>
      <c r="H3275" s="287"/>
      <c r="I3275" s="211"/>
      <c r="J3275" s="211"/>
      <c r="K3275" s="288"/>
    </row>
    <row r="3276" spans="4:11" x14ac:dyDescent="0.2">
      <c r="D3276" s="308"/>
      <c r="E3276" s="291"/>
      <c r="F3276" s="291"/>
      <c r="G3276" s="291"/>
      <c r="H3276" s="287"/>
      <c r="I3276" s="211"/>
      <c r="J3276" s="211"/>
      <c r="K3276" s="288"/>
    </row>
    <row r="3277" spans="4:11" x14ac:dyDescent="0.2">
      <c r="D3277" s="308"/>
      <c r="E3277" s="291"/>
      <c r="F3277" s="291"/>
      <c r="G3277" s="291"/>
      <c r="H3277" s="287"/>
      <c r="I3277" s="211"/>
      <c r="J3277" s="211"/>
      <c r="K3277" s="288"/>
    </row>
    <row r="3278" spans="4:11" x14ac:dyDescent="0.2">
      <c r="D3278" s="308"/>
      <c r="E3278" s="291"/>
      <c r="F3278" s="291"/>
      <c r="G3278" s="291"/>
      <c r="H3278" s="287"/>
      <c r="I3278" s="211"/>
      <c r="J3278" s="211"/>
      <c r="K3278" s="288"/>
    </row>
    <row r="3279" spans="4:11" x14ac:dyDescent="0.2">
      <c r="D3279" s="308"/>
      <c r="E3279" s="291"/>
      <c r="F3279" s="291"/>
      <c r="G3279" s="291"/>
      <c r="H3279" s="287"/>
      <c r="I3279" s="211"/>
      <c r="J3279" s="211"/>
      <c r="K3279" s="288"/>
    </row>
    <row r="3280" spans="4:11" x14ac:dyDescent="0.2">
      <c r="D3280" s="308"/>
      <c r="E3280" s="291"/>
      <c r="F3280" s="291"/>
      <c r="G3280" s="291"/>
      <c r="H3280" s="287"/>
      <c r="I3280" s="211"/>
      <c r="J3280" s="211"/>
      <c r="K3280" s="288"/>
    </row>
    <row r="3281" spans="4:11" x14ac:dyDescent="0.2">
      <c r="D3281" s="308"/>
      <c r="E3281" s="291"/>
      <c r="F3281" s="291"/>
      <c r="G3281" s="291"/>
      <c r="H3281" s="287"/>
      <c r="I3281" s="211"/>
      <c r="J3281" s="211"/>
      <c r="K3281" s="288"/>
    </row>
    <row r="3282" spans="4:11" x14ac:dyDescent="0.2">
      <c r="D3282" s="308"/>
      <c r="E3282" s="291"/>
      <c r="F3282" s="291"/>
      <c r="G3282" s="291"/>
      <c r="H3282" s="287"/>
      <c r="I3282" s="211"/>
      <c r="J3282" s="211"/>
      <c r="K3282" s="288"/>
    </row>
    <row r="3283" spans="4:11" x14ac:dyDescent="0.2">
      <c r="D3283" s="308"/>
      <c r="E3283" s="291"/>
      <c r="F3283" s="291"/>
      <c r="G3283" s="291"/>
      <c r="H3283" s="287"/>
      <c r="I3283" s="211"/>
      <c r="J3283" s="211"/>
      <c r="K3283" s="288"/>
    </row>
    <row r="3284" spans="4:11" x14ac:dyDescent="0.2">
      <c r="D3284" s="308"/>
      <c r="E3284" s="291"/>
      <c r="F3284" s="291"/>
      <c r="G3284" s="291"/>
      <c r="H3284" s="287"/>
      <c r="I3284" s="211"/>
      <c r="J3284" s="211"/>
      <c r="K3284" s="288"/>
    </row>
    <row r="3285" spans="4:11" x14ac:dyDescent="0.2">
      <c r="D3285" s="308"/>
      <c r="E3285" s="291"/>
      <c r="F3285" s="291"/>
      <c r="G3285" s="291"/>
      <c r="H3285" s="287"/>
      <c r="I3285" s="211"/>
      <c r="J3285" s="211"/>
      <c r="K3285" s="288"/>
    </row>
    <row r="3286" spans="4:11" x14ac:dyDescent="0.2">
      <c r="D3286" s="308"/>
      <c r="E3286" s="291"/>
      <c r="F3286" s="291"/>
      <c r="G3286" s="291"/>
      <c r="H3286" s="287"/>
      <c r="I3286" s="211"/>
      <c r="J3286" s="211"/>
      <c r="K3286" s="288"/>
    </row>
    <row r="3287" spans="4:11" x14ac:dyDescent="0.2">
      <c r="D3287" s="308"/>
      <c r="E3287" s="291"/>
      <c r="F3287" s="291"/>
      <c r="G3287" s="291"/>
      <c r="H3287" s="287"/>
      <c r="I3287" s="211"/>
      <c r="J3287" s="211"/>
      <c r="K3287" s="288"/>
    </row>
    <row r="3288" spans="4:11" x14ac:dyDescent="0.2">
      <c r="D3288" s="308"/>
      <c r="E3288" s="291"/>
      <c r="F3288" s="291"/>
      <c r="G3288" s="291"/>
      <c r="H3288" s="287"/>
      <c r="I3288" s="211"/>
      <c r="J3288" s="211"/>
      <c r="K3288" s="288"/>
    </row>
    <row r="3289" spans="4:11" x14ac:dyDescent="0.2">
      <c r="D3289" s="308"/>
      <c r="E3289" s="291"/>
      <c r="F3289" s="291"/>
      <c r="G3289" s="291"/>
      <c r="H3289" s="287"/>
      <c r="I3289" s="211"/>
      <c r="J3289" s="211"/>
      <c r="K3289" s="288"/>
    </row>
    <row r="3290" spans="4:11" x14ac:dyDescent="0.2">
      <c r="D3290" s="308"/>
      <c r="E3290" s="291"/>
      <c r="F3290" s="291"/>
      <c r="G3290" s="291"/>
      <c r="H3290" s="287"/>
      <c r="I3290" s="211"/>
      <c r="J3290" s="211"/>
      <c r="K3290" s="288"/>
    </row>
    <row r="3291" spans="4:11" x14ac:dyDescent="0.2">
      <c r="D3291" s="308"/>
      <c r="E3291" s="291"/>
      <c r="F3291" s="291"/>
      <c r="G3291" s="291"/>
      <c r="H3291" s="287"/>
      <c r="I3291" s="211"/>
      <c r="J3291" s="211"/>
      <c r="K3291" s="288"/>
    </row>
    <row r="3292" spans="4:11" x14ac:dyDescent="0.2">
      <c r="D3292" s="308"/>
      <c r="E3292" s="291"/>
      <c r="F3292" s="291"/>
      <c r="G3292" s="291"/>
      <c r="H3292" s="287"/>
      <c r="I3292" s="211"/>
      <c r="J3292" s="211"/>
      <c r="K3292" s="288"/>
    </row>
    <row r="3293" spans="4:11" x14ac:dyDescent="0.2">
      <c r="D3293" s="308"/>
      <c r="E3293" s="291"/>
      <c r="F3293" s="291"/>
      <c r="G3293" s="291"/>
      <c r="H3293" s="287"/>
      <c r="I3293" s="211"/>
      <c r="J3293" s="211"/>
      <c r="K3293" s="288"/>
    </row>
    <row r="3294" spans="4:11" x14ac:dyDescent="0.2">
      <c r="D3294" s="308"/>
      <c r="E3294" s="291"/>
      <c r="F3294" s="291"/>
      <c r="G3294" s="291"/>
      <c r="H3294" s="287"/>
      <c r="I3294" s="211"/>
      <c r="J3294" s="211"/>
      <c r="K3294" s="288"/>
    </row>
    <row r="3295" spans="4:11" x14ac:dyDescent="0.2">
      <c r="D3295" s="308"/>
      <c r="E3295" s="291"/>
      <c r="F3295" s="291"/>
      <c r="G3295" s="291"/>
      <c r="H3295" s="287"/>
      <c r="I3295" s="211"/>
      <c r="J3295" s="211"/>
      <c r="K3295" s="288"/>
    </row>
    <row r="3296" spans="4:11" x14ac:dyDescent="0.2">
      <c r="D3296" s="308"/>
      <c r="E3296" s="291"/>
      <c r="F3296" s="291"/>
      <c r="G3296" s="291"/>
      <c r="H3296" s="287"/>
      <c r="I3296" s="211"/>
      <c r="J3296" s="211"/>
      <c r="K3296" s="288"/>
    </row>
    <row r="3297" spans="4:11" x14ac:dyDescent="0.2">
      <c r="D3297" s="308"/>
      <c r="E3297" s="291"/>
      <c r="F3297" s="291"/>
      <c r="G3297" s="291"/>
      <c r="H3297" s="287"/>
      <c r="I3297" s="211"/>
      <c r="J3297" s="211"/>
      <c r="K3297" s="288"/>
    </row>
    <row r="3298" spans="4:11" x14ac:dyDescent="0.2">
      <c r="D3298" s="308"/>
      <c r="E3298" s="291"/>
      <c r="F3298" s="291"/>
      <c r="G3298" s="291"/>
      <c r="H3298" s="287"/>
      <c r="I3298" s="211"/>
      <c r="J3298" s="211"/>
      <c r="K3298" s="288"/>
    </row>
    <row r="3299" spans="4:11" x14ac:dyDescent="0.2">
      <c r="D3299" s="308"/>
      <c r="E3299" s="291"/>
      <c r="F3299" s="291"/>
      <c r="G3299" s="291"/>
      <c r="H3299" s="287"/>
      <c r="I3299" s="211"/>
      <c r="J3299" s="211"/>
      <c r="K3299" s="288"/>
    </row>
    <row r="3300" spans="4:11" x14ac:dyDescent="0.2">
      <c r="D3300" s="308"/>
      <c r="E3300" s="291"/>
      <c r="F3300" s="291"/>
      <c r="G3300" s="291"/>
      <c r="H3300" s="287"/>
      <c r="I3300" s="211"/>
      <c r="J3300" s="211"/>
      <c r="K3300" s="288"/>
    </row>
    <row r="3301" spans="4:11" x14ac:dyDescent="0.2">
      <c r="D3301" s="308"/>
      <c r="E3301" s="291"/>
      <c r="F3301" s="291"/>
      <c r="G3301" s="291"/>
      <c r="H3301" s="287"/>
      <c r="I3301" s="211"/>
      <c r="J3301" s="211"/>
      <c r="K3301" s="288"/>
    </row>
    <row r="3302" spans="4:11" x14ac:dyDescent="0.2">
      <c r="D3302" s="308"/>
      <c r="E3302" s="291"/>
      <c r="F3302" s="291"/>
      <c r="G3302" s="291"/>
      <c r="H3302" s="287"/>
      <c r="I3302" s="211"/>
      <c r="J3302" s="211"/>
      <c r="K3302" s="288"/>
    </row>
    <row r="3303" spans="4:11" x14ac:dyDescent="0.2">
      <c r="D3303" s="308"/>
      <c r="E3303" s="291"/>
      <c r="F3303" s="291"/>
      <c r="G3303" s="291"/>
      <c r="H3303" s="287"/>
      <c r="I3303" s="211"/>
      <c r="J3303" s="211"/>
      <c r="K3303" s="288"/>
    </row>
    <row r="3304" spans="4:11" x14ac:dyDescent="0.2">
      <c r="D3304" s="308"/>
      <c r="E3304" s="291"/>
      <c r="F3304" s="291"/>
      <c r="G3304" s="291"/>
      <c r="H3304" s="287"/>
      <c r="I3304" s="211"/>
      <c r="J3304" s="211"/>
      <c r="K3304" s="288"/>
    </row>
    <row r="3305" spans="4:11" x14ac:dyDescent="0.2">
      <c r="D3305" s="308"/>
      <c r="E3305" s="291"/>
      <c r="F3305" s="291"/>
      <c r="G3305" s="291"/>
      <c r="H3305" s="287"/>
      <c r="I3305" s="211"/>
      <c r="J3305" s="211"/>
      <c r="K3305" s="288"/>
    </row>
    <row r="3306" spans="4:11" x14ac:dyDescent="0.2">
      <c r="D3306" s="308"/>
      <c r="E3306" s="291"/>
      <c r="F3306" s="291"/>
      <c r="G3306" s="291"/>
      <c r="H3306" s="287"/>
      <c r="I3306" s="211"/>
      <c r="J3306" s="211"/>
      <c r="K3306" s="288"/>
    </row>
    <row r="3307" spans="4:11" x14ac:dyDescent="0.2">
      <c r="D3307" s="308"/>
      <c r="E3307" s="291"/>
      <c r="F3307" s="291"/>
      <c r="G3307" s="291"/>
      <c r="H3307" s="287"/>
      <c r="I3307" s="211"/>
      <c r="J3307" s="211"/>
      <c r="K3307" s="288"/>
    </row>
    <row r="3308" spans="4:11" x14ac:dyDescent="0.2">
      <c r="D3308" s="308"/>
      <c r="E3308" s="291"/>
      <c r="F3308" s="291"/>
      <c r="G3308" s="291"/>
      <c r="H3308" s="287"/>
      <c r="I3308" s="211"/>
      <c r="J3308" s="211"/>
      <c r="K3308" s="288"/>
    </row>
    <row r="3309" spans="4:11" x14ac:dyDescent="0.2">
      <c r="D3309" s="308"/>
      <c r="E3309" s="291"/>
      <c r="F3309" s="291"/>
      <c r="G3309" s="291"/>
      <c r="H3309" s="287"/>
      <c r="I3309" s="211"/>
      <c r="J3309" s="211"/>
      <c r="K3309" s="288"/>
    </row>
    <row r="3310" spans="4:11" x14ac:dyDescent="0.2">
      <c r="D3310" s="308"/>
      <c r="E3310" s="291"/>
      <c r="F3310" s="291"/>
      <c r="G3310" s="291"/>
      <c r="H3310" s="287"/>
      <c r="I3310" s="211"/>
      <c r="J3310" s="211"/>
      <c r="K3310" s="288"/>
    </row>
    <row r="3311" spans="4:11" x14ac:dyDescent="0.2">
      <c r="D3311" s="308"/>
      <c r="E3311" s="291"/>
      <c r="F3311" s="291"/>
      <c r="G3311" s="291"/>
      <c r="H3311" s="287"/>
      <c r="I3311" s="211"/>
      <c r="J3311" s="211"/>
      <c r="K3311" s="288"/>
    </row>
    <row r="3312" spans="4:11" x14ac:dyDescent="0.2">
      <c r="D3312" s="308"/>
      <c r="E3312" s="291"/>
      <c r="F3312" s="291"/>
      <c r="G3312" s="291"/>
      <c r="H3312" s="287"/>
      <c r="I3312" s="211"/>
      <c r="J3312" s="211"/>
      <c r="K3312" s="288"/>
    </row>
    <row r="3313" spans="4:11" x14ac:dyDescent="0.2">
      <c r="D3313" s="308"/>
      <c r="E3313" s="291"/>
      <c r="F3313" s="291"/>
      <c r="G3313" s="291"/>
      <c r="H3313" s="287"/>
      <c r="I3313" s="211"/>
      <c r="J3313" s="211"/>
      <c r="K3313" s="288"/>
    </row>
    <row r="3314" spans="4:11" x14ac:dyDescent="0.2">
      <c r="D3314" s="308"/>
      <c r="E3314" s="291"/>
      <c r="F3314" s="291"/>
      <c r="G3314" s="291"/>
      <c r="H3314" s="287"/>
      <c r="I3314" s="211"/>
      <c r="J3314" s="211"/>
      <c r="K3314" s="288"/>
    </row>
    <row r="3315" spans="4:11" x14ac:dyDescent="0.2">
      <c r="D3315" s="308"/>
      <c r="E3315" s="291"/>
      <c r="F3315" s="291"/>
      <c r="G3315" s="291"/>
      <c r="H3315" s="287"/>
      <c r="I3315" s="211"/>
      <c r="J3315" s="211"/>
      <c r="K3315" s="288"/>
    </row>
    <row r="3316" spans="4:11" x14ac:dyDescent="0.2">
      <c r="D3316" s="308"/>
      <c r="E3316" s="291"/>
      <c r="F3316" s="291"/>
      <c r="G3316" s="291"/>
      <c r="H3316" s="287"/>
      <c r="I3316" s="211"/>
      <c r="J3316" s="211"/>
      <c r="K3316" s="288"/>
    </row>
    <row r="3317" spans="4:11" x14ac:dyDescent="0.2">
      <c r="D3317" s="308"/>
      <c r="E3317" s="291"/>
      <c r="F3317" s="291"/>
      <c r="G3317" s="291"/>
      <c r="H3317" s="287"/>
      <c r="I3317" s="211"/>
      <c r="J3317" s="211"/>
      <c r="K3317" s="288"/>
    </row>
    <row r="3318" spans="4:11" x14ac:dyDescent="0.2">
      <c r="D3318" s="308"/>
      <c r="E3318" s="291"/>
      <c r="F3318" s="291"/>
      <c r="G3318" s="291"/>
      <c r="H3318" s="287"/>
      <c r="I3318" s="211"/>
      <c r="J3318" s="211"/>
      <c r="K3318" s="288"/>
    </row>
    <row r="3319" spans="4:11" x14ac:dyDescent="0.2">
      <c r="D3319" s="308"/>
      <c r="E3319" s="291"/>
      <c r="F3319" s="291"/>
      <c r="G3319" s="291"/>
      <c r="H3319" s="287"/>
      <c r="I3319" s="211"/>
      <c r="J3319" s="211"/>
      <c r="K3319" s="288"/>
    </row>
    <row r="3320" spans="4:11" x14ac:dyDescent="0.2">
      <c r="D3320" s="308"/>
      <c r="E3320" s="291"/>
      <c r="F3320" s="291"/>
      <c r="G3320" s="291"/>
      <c r="H3320" s="287"/>
      <c r="I3320" s="211"/>
      <c r="J3320" s="211"/>
      <c r="K3320" s="288"/>
    </row>
    <row r="3321" spans="4:11" x14ac:dyDescent="0.2">
      <c r="D3321" s="308"/>
      <c r="E3321" s="291"/>
      <c r="F3321" s="291"/>
      <c r="G3321" s="291"/>
      <c r="H3321" s="287"/>
      <c r="I3321" s="211"/>
      <c r="J3321" s="211"/>
      <c r="K3321" s="288"/>
    </row>
    <row r="3322" spans="4:11" x14ac:dyDescent="0.2">
      <c r="D3322" s="308"/>
      <c r="E3322" s="291"/>
      <c r="F3322" s="291"/>
      <c r="G3322" s="291"/>
      <c r="H3322" s="287"/>
      <c r="I3322" s="211"/>
      <c r="J3322" s="211"/>
      <c r="K3322" s="288"/>
    </row>
    <row r="3323" spans="4:11" x14ac:dyDescent="0.2">
      <c r="D3323" s="308"/>
      <c r="E3323" s="291"/>
      <c r="F3323" s="291"/>
      <c r="G3323" s="291"/>
      <c r="H3323" s="287"/>
      <c r="I3323" s="211"/>
      <c r="J3323" s="211"/>
      <c r="K3323" s="288"/>
    </row>
    <row r="3324" spans="4:11" x14ac:dyDescent="0.2">
      <c r="D3324" s="308"/>
      <c r="E3324" s="291"/>
      <c r="F3324" s="291"/>
      <c r="G3324" s="291"/>
      <c r="H3324" s="287"/>
      <c r="I3324" s="211"/>
      <c r="J3324" s="211"/>
      <c r="K3324" s="288"/>
    </row>
    <row r="3325" spans="4:11" x14ac:dyDescent="0.2">
      <c r="D3325" s="308"/>
      <c r="E3325" s="291"/>
      <c r="F3325" s="291"/>
      <c r="G3325" s="291"/>
      <c r="H3325" s="287"/>
      <c r="I3325" s="211"/>
      <c r="J3325" s="211"/>
      <c r="K3325" s="288"/>
    </row>
    <row r="3326" spans="4:11" x14ac:dyDescent="0.2">
      <c r="D3326" s="308"/>
      <c r="E3326" s="291"/>
      <c r="F3326" s="291"/>
      <c r="G3326" s="291"/>
      <c r="H3326" s="287"/>
      <c r="I3326" s="211"/>
      <c r="J3326" s="211"/>
      <c r="K3326" s="288"/>
    </row>
    <row r="3327" spans="4:11" x14ac:dyDescent="0.2">
      <c r="D3327" s="308"/>
      <c r="E3327" s="291"/>
      <c r="F3327" s="291"/>
      <c r="G3327" s="291"/>
      <c r="H3327" s="287"/>
      <c r="I3327" s="211"/>
      <c r="J3327" s="211"/>
      <c r="K3327" s="288"/>
    </row>
    <row r="3328" spans="4:11" x14ac:dyDescent="0.2">
      <c r="D3328" s="308"/>
      <c r="E3328" s="291"/>
      <c r="F3328" s="291"/>
      <c r="G3328" s="291"/>
      <c r="H3328" s="287"/>
      <c r="I3328" s="211"/>
      <c r="J3328" s="211"/>
      <c r="K3328" s="288"/>
    </row>
    <row r="3329" spans="4:11" x14ac:dyDescent="0.2">
      <c r="D3329" s="308"/>
      <c r="E3329" s="291"/>
      <c r="F3329" s="291"/>
      <c r="G3329" s="291"/>
      <c r="H3329" s="287"/>
      <c r="I3329" s="211"/>
      <c r="J3329" s="211"/>
      <c r="K3329" s="288"/>
    </row>
    <row r="3330" spans="4:11" x14ac:dyDescent="0.2">
      <c r="D3330" s="308"/>
      <c r="E3330" s="291"/>
      <c r="F3330" s="291"/>
      <c r="G3330" s="291"/>
      <c r="H3330" s="287"/>
      <c r="I3330" s="211"/>
      <c r="J3330" s="211"/>
      <c r="K3330" s="288"/>
    </row>
    <row r="3331" spans="4:11" x14ac:dyDescent="0.2">
      <c r="D3331" s="308"/>
      <c r="E3331" s="291"/>
      <c r="F3331" s="291"/>
      <c r="G3331" s="291"/>
      <c r="H3331" s="287"/>
      <c r="I3331" s="211"/>
      <c r="J3331" s="211"/>
      <c r="K3331" s="288"/>
    </row>
    <row r="3332" spans="4:11" x14ac:dyDescent="0.2">
      <c r="D3332" s="308"/>
      <c r="E3332" s="291"/>
      <c r="F3332" s="291"/>
      <c r="G3332" s="291"/>
      <c r="H3332" s="287"/>
      <c r="I3332" s="211"/>
      <c r="J3332" s="211"/>
      <c r="K3332" s="288"/>
    </row>
    <row r="3333" spans="4:11" x14ac:dyDescent="0.2">
      <c r="D3333" s="308"/>
      <c r="E3333" s="291"/>
      <c r="F3333" s="291"/>
      <c r="G3333" s="291"/>
      <c r="H3333" s="287"/>
      <c r="I3333" s="211"/>
      <c r="J3333" s="211"/>
      <c r="K3333" s="288"/>
    </row>
    <row r="3334" spans="4:11" x14ac:dyDescent="0.2">
      <c r="D3334" s="308"/>
      <c r="E3334" s="291"/>
      <c r="F3334" s="291"/>
      <c r="G3334" s="291"/>
      <c r="H3334" s="287"/>
      <c r="I3334" s="211"/>
      <c r="J3334" s="211"/>
      <c r="K3334" s="288"/>
    </row>
    <row r="3335" spans="4:11" x14ac:dyDescent="0.2">
      <c r="D3335" s="308"/>
      <c r="E3335" s="291"/>
      <c r="F3335" s="291"/>
      <c r="G3335" s="291"/>
      <c r="H3335" s="287"/>
      <c r="I3335" s="211"/>
      <c r="J3335" s="211"/>
      <c r="K3335" s="288"/>
    </row>
    <row r="3336" spans="4:11" x14ac:dyDescent="0.2">
      <c r="D3336" s="308"/>
      <c r="E3336" s="291"/>
      <c r="F3336" s="291"/>
      <c r="G3336" s="291"/>
      <c r="H3336" s="287"/>
      <c r="I3336" s="211"/>
      <c r="J3336" s="211"/>
      <c r="K3336" s="288"/>
    </row>
    <row r="3337" spans="4:11" x14ac:dyDescent="0.2">
      <c r="D3337" s="308"/>
      <c r="E3337" s="291"/>
      <c r="F3337" s="291"/>
      <c r="G3337" s="291"/>
      <c r="H3337" s="287"/>
      <c r="I3337" s="211"/>
      <c r="J3337" s="211"/>
      <c r="K3337" s="288"/>
    </row>
    <row r="3338" spans="4:11" x14ac:dyDescent="0.2">
      <c r="D3338" s="308"/>
      <c r="E3338" s="291"/>
      <c r="F3338" s="291"/>
      <c r="G3338" s="291"/>
      <c r="H3338" s="287"/>
      <c r="I3338" s="211"/>
      <c r="J3338" s="211"/>
      <c r="K3338" s="288"/>
    </row>
    <row r="3339" spans="4:11" x14ac:dyDescent="0.2">
      <c r="D3339" s="308"/>
      <c r="E3339" s="291"/>
      <c r="F3339" s="291"/>
      <c r="G3339" s="291"/>
      <c r="H3339" s="287"/>
      <c r="I3339" s="211"/>
      <c r="J3339" s="211"/>
      <c r="K3339" s="288"/>
    </row>
    <row r="3340" spans="4:11" x14ac:dyDescent="0.2">
      <c r="D3340" s="308"/>
      <c r="E3340" s="291"/>
      <c r="F3340" s="291"/>
      <c r="G3340" s="291"/>
      <c r="H3340" s="287"/>
      <c r="I3340" s="211"/>
      <c r="J3340" s="211"/>
      <c r="K3340" s="288"/>
    </row>
    <row r="3341" spans="4:11" x14ac:dyDescent="0.2">
      <c r="D3341" s="308"/>
      <c r="E3341" s="291"/>
      <c r="F3341" s="291"/>
      <c r="G3341" s="291"/>
      <c r="H3341" s="287"/>
      <c r="I3341" s="211"/>
      <c r="J3341" s="211"/>
      <c r="K3341" s="288"/>
    </row>
    <row r="3342" spans="4:11" x14ac:dyDescent="0.2">
      <c r="D3342" s="308"/>
      <c r="E3342" s="291"/>
      <c r="F3342" s="291"/>
      <c r="G3342" s="291"/>
      <c r="H3342" s="287"/>
      <c r="I3342" s="211"/>
      <c r="J3342" s="211"/>
      <c r="K3342" s="288"/>
    </row>
    <row r="3343" spans="4:11" x14ac:dyDescent="0.2">
      <c r="D3343" s="308"/>
      <c r="E3343" s="291"/>
      <c r="F3343" s="291"/>
      <c r="G3343" s="291"/>
      <c r="H3343" s="287"/>
      <c r="I3343" s="211"/>
      <c r="J3343" s="211"/>
      <c r="K3343" s="288"/>
    </row>
    <row r="3344" spans="4:11" x14ac:dyDescent="0.2">
      <c r="D3344" s="308"/>
      <c r="E3344" s="291"/>
      <c r="F3344" s="291"/>
      <c r="G3344" s="291"/>
      <c r="H3344" s="287"/>
      <c r="I3344" s="211"/>
      <c r="J3344" s="211"/>
      <c r="K3344" s="288"/>
    </row>
    <row r="3345" spans="4:11" x14ac:dyDescent="0.2">
      <c r="D3345" s="308"/>
      <c r="E3345" s="291"/>
      <c r="F3345" s="291"/>
      <c r="G3345" s="291"/>
      <c r="H3345" s="287"/>
      <c r="I3345" s="211"/>
      <c r="J3345" s="211"/>
      <c r="K3345" s="288"/>
    </row>
    <row r="3346" spans="4:11" x14ac:dyDescent="0.2">
      <c r="D3346" s="308"/>
      <c r="E3346" s="291"/>
      <c r="F3346" s="291"/>
      <c r="G3346" s="291"/>
      <c r="H3346" s="287"/>
      <c r="I3346" s="211"/>
      <c r="J3346" s="211"/>
      <c r="K3346" s="288"/>
    </row>
    <row r="3347" spans="4:11" x14ac:dyDescent="0.2">
      <c r="D3347" s="308"/>
      <c r="E3347" s="291"/>
      <c r="F3347" s="291"/>
      <c r="G3347" s="291"/>
      <c r="H3347" s="287"/>
      <c r="I3347" s="211"/>
      <c r="J3347" s="211"/>
      <c r="K3347" s="288"/>
    </row>
    <row r="3348" spans="4:11" x14ac:dyDescent="0.2">
      <c r="D3348" s="308"/>
      <c r="E3348" s="291"/>
      <c r="F3348" s="291"/>
      <c r="G3348" s="291"/>
      <c r="H3348" s="287"/>
      <c r="I3348" s="211"/>
      <c r="J3348" s="211"/>
      <c r="K3348" s="288"/>
    </row>
    <row r="3349" spans="4:11" x14ac:dyDescent="0.2">
      <c r="D3349" s="308"/>
      <c r="E3349" s="291"/>
      <c r="F3349" s="291"/>
      <c r="G3349" s="291"/>
      <c r="H3349" s="287"/>
      <c r="I3349" s="211"/>
      <c r="J3349" s="211"/>
      <c r="K3349" s="288"/>
    </row>
    <row r="3350" spans="4:11" x14ac:dyDescent="0.2">
      <c r="D3350" s="308"/>
      <c r="E3350" s="291"/>
      <c r="F3350" s="291"/>
      <c r="G3350" s="291"/>
      <c r="H3350" s="287"/>
      <c r="I3350" s="211"/>
      <c r="J3350" s="211"/>
      <c r="K3350" s="288"/>
    </row>
    <row r="3351" spans="4:11" x14ac:dyDescent="0.2">
      <c r="D3351" s="308"/>
      <c r="E3351" s="291"/>
      <c r="F3351" s="291"/>
      <c r="G3351" s="291"/>
      <c r="H3351" s="287"/>
      <c r="I3351" s="211"/>
      <c r="J3351" s="211"/>
      <c r="K3351" s="288"/>
    </row>
    <row r="3352" spans="4:11" x14ac:dyDescent="0.2">
      <c r="D3352" s="308"/>
      <c r="E3352" s="291"/>
      <c r="F3352" s="291"/>
      <c r="G3352" s="291"/>
      <c r="H3352" s="287"/>
      <c r="I3352" s="211"/>
      <c r="J3352" s="211"/>
      <c r="K3352" s="288"/>
    </row>
    <row r="3353" spans="4:11" x14ac:dyDescent="0.2">
      <c r="D3353" s="308"/>
      <c r="E3353" s="291"/>
      <c r="F3353" s="291"/>
      <c r="G3353" s="291"/>
      <c r="H3353" s="287"/>
      <c r="I3353" s="211"/>
      <c r="J3353" s="211"/>
      <c r="K3353" s="288"/>
    </row>
    <row r="3354" spans="4:11" x14ac:dyDescent="0.2">
      <c r="D3354" s="308"/>
      <c r="E3354" s="291"/>
      <c r="F3354" s="291"/>
      <c r="G3354" s="291"/>
      <c r="H3354" s="287"/>
      <c r="I3354" s="211"/>
      <c r="J3354" s="211"/>
      <c r="K3354" s="288"/>
    </row>
    <row r="3355" spans="4:11" x14ac:dyDescent="0.2">
      <c r="D3355" s="308"/>
      <c r="E3355" s="291"/>
      <c r="F3355" s="291"/>
      <c r="G3355" s="291"/>
      <c r="H3355" s="287"/>
      <c r="I3355" s="211"/>
      <c r="J3355" s="211"/>
      <c r="K3355" s="288"/>
    </row>
    <row r="3356" spans="4:11" x14ac:dyDescent="0.2">
      <c r="D3356" s="308"/>
      <c r="E3356" s="291"/>
      <c r="F3356" s="291"/>
      <c r="G3356" s="291"/>
      <c r="H3356" s="287"/>
      <c r="I3356" s="211"/>
      <c r="J3356" s="211"/>
      <c r="K3356" s="288"/>
    </row>
    <row r="3357" spans="4:11" x14ac:dyDescent="0.2">
      <c r="D3357" s="308"/>
      <c r="E3357" s="291"/>
      <c r="F3357" s="291"/>
      <c r="G3357" s="291"/>
      <c r="H3357" s="287"/>
      <c r="I3357" s="211"/>
      <c r="J3357" s="211"/>
      <c r="K3357" s="288"/>
    </row>
    <row r="3358" spans="4:11" x14ac:dyDescent="0.2">
      <c r="D3358" s="308"/>
      <c r="E3358" s="291"/>
      <c r="F3358" s="291"/>
      <c r="G3358" s="291"/>
      <c r="H3358" s="287"/>
      <c r="I3358" s="211"/>
      <c r="J3358" s="211"/>
      <c r="K3358" s="288"/>
    </row>
    <row r="3359" spans="4:11" x14ac:dyDescent="0.2">
      <c r="D3359" s="308"/>
      <c r="E3359" s="291"/>
      <c r="F3359" s="291"/>
      <c r="G3359" s="291"/>
      <c r="H3359" s="287"/>
      <c r="I3359" s="211"/>
      <c r="J3359" s="211"/>
      <c r="K3359" s="288"/>
    </row>
    <row r="3360" spans="4:11" x14ac:dyDescent="0.2">
      <c r="D3360" s="308"/>
      <c r="E3360" s="291"/>
      <c r="F3360" s="291"/>
      <c r="G3360" s="291"/>
      <c r="H3360" s="287"/>
      <c r="I3360" s="211"/>
      <c r="J3360" s="211"/>
      <c r="K3360" s="288"/>
    </row>
    <row r="3361" spans="4:11" x14ac:dyDescent="0.2">
      <c r="D3361" s="308"/>
      <c r="E3361" s="291"/>
      <c r="F3361" s="291"/>
      <c r="G3361" s="291"/>
      <c r="H3361" s="287"/>
      <c r="I3361" s="211"/>
      <c r="J3361" s="211"/>
      <c r="K3361" s="288"/>
    </row>
    <row r="3362" spans="4:11" x14ac:dyDescent="0.2">
      <c r="D3362" s="308"/>
      <c r="E3362" s="291"/>
      <c r="F3362" s="291"/>
      <c r="G3362" s="291"/>
      <c r="H3362" s="287"/>
      <c r="I3362" s="211"/>
      <c r="J3362" s="211"/>
      <c r="K3362" s="288"/>
    </row>
    <row r="3363" spans="4:11" x14ac:dyDescent="0.2">
      <c r="D3363" s="308"/>
      <c r="E3363" s="291"/>
      <c r="F3363" s="291"/>
      <c r="G3363" s="291"/>
      <c r="H3363" s="287"/>
      <c r="I3363" s="211"/>
      <c r="J3363" s="211"/>
      <c r="K3363" s="288"/>
    </row>
    <row r="3364" spans="4:11" x14ac:dyDescent="0.2">
      <c r="D3364" s="308"/>
      <c r="E3364" s="291"/>
      <c r="F3364" s="291"/>
      <c r="G3364" s="291"/>
      <c r="H3364" s="287"/>
      <c r="I3364" s="211"/>
      <c r="J3364" s="211"/>
      <c r="K3364" s="288"/>
    </row>
    <row r="3365" spans="4:11" x14ac:dyDescent="0.2">
      <c r="D3365" s="308"/>
      <c r="E3365" s="291"/>
      <c r="F3365" s="291"/>
      <c r="G3365" s="291"/>
      <c r="H3365" s="287"/>
      <c r="I3365" s="211"/>
      <c r="J3365" s="211"/>
      <c r="K3365" s="288"/>
    </row>
    <row r="3366" spans="4:11" x14ac:dyDescent="0.2">
      <c r="D3366" s="308"/>
      <c r="E3366" s="291"/>
      <c r="F3366" s="291"/>
      <c r="G3366" s="291"/>
      <c r="H3366" s="287"/>
      <c r="I3366" s="211"/>
      <c r="J3366" s="211"/>
      <c r="K3366" s="288"/>
    </row>
    <row r="3367" spans="4:11" x14ac:dyDescent="0.2">
      <c r="D3367" s="308"/>
      <c r="E3367" s="291"/>
      <c r="F3367" s="291"/>
      <c r="G3367" s="291"/>
      <c r="H3367" s="287"/>
      <c r="I3367" s="211"/>
      <c r="J3367" s="211"/>
      <c r="K3367" s="288"/>
    </row>
    <row r="3368" spans="4:11" x14ac:dyDescent="0.2">
      <c r="D3368" s="308"/>
      <c r="E3368" s="291"/>
      <c r="F3368" s="291"/>
      <c r="G3368" s="291"/>
      <c r="H3368" s="287"/>
      <c r="I3368" s="211"/>
      <c r="J3368" s="211"/>
      <c r="K3368" s="288"/>
    </row>
    <row r="3369" spans="4:11" x14ac:dyDescent="0.2">
      <c r="D3369" s="308"/>
      <c r="E3369" s="291"/>
      <c r="F3369" s="291"/>
      <c r="G3369" s="291"/>
      <c r="H3369" s="287"/>
      <c r="I3369" s="211"/>
      <c r="J3369" s="211"/>
      <c r="K3369" s="288"/>
    </row>
    <row r="3370" spans="4:11" x14ac:dyDescent="0.2">
      <c r="D3370" s="308"/>
      <c r="E3370" s="291"/>
      <c r="F3370" s="291"/>
      <c r="G3370" s="291"/>
      <c r="H3370" s="287"/>
      <c r="I3370" s="211"/>
      <c r="J3370" s="211"/>
      <c r="K3370" s="288"/>
    </row>
    <row r="3371" spans="4:11" x14ac:dyDescent="0.2">
      <c r="D3371" s="308"/>
      <c r="E3371" s="291"/>
      <c r="F3371" s="291"/>
      <c r="G3371" s="291"/>
      <c r="H3371" s="287"/>
      <c r="I3371" s="211"/>
      <c r="J3371" s="211"/>
      <c r="K3371" s="288"/>
    </row>
    <row r="3372" spans="4:11" x14ac:dyDescent="0.2">
      <c r="D3372" s="308"/>
      <c r="E3372" s="291"/>
      <c r="F3372" s="291"/>
      <c r="G3372" s="291"/>
      <c r="H3372" s="287"/>
      <c r="I3372" s="211"/>
      <c r="J3372" s="211"/>
      <c r="K3372" s="288"/>
    </row>
    <row r="3373" spans="4:11" x14ac:dyDescent="0.2">
      <c r="D3373" s="308"/>
      <c r="E3373" s="291"/>
      <c r="F3373" s="291"/>
      <c r="G3373" s="291"/>
      <c r="H3373" s="287"/>
      <c r="I3373" s="211"/>
      <c r="J3373" s="211"/>
      <c r="K3373" s="288"/>
    </row>
    <row r="3374" spans="4:11" x14ac:dyDescent="0.2">
      <c r="D3374" s="308"/>
      <c r="E3374" s="291"/>
      <c r="F3374" s="291"/>
      <c r="G3374" s="291"/>
      <c r="H3374" s="287"/>
      <c r="I3374" s="211"/>
      <c r="J3374" s="211"/>
      <c r="K3374" s="288"/>
    </row>
    <row r="3375" spans="4:11" x14ac:dyDescent="0.2">
      <c r="D3375" s="308"/>
      <c r="E3375" s="291"/>
      <c r="F3375" s="291"/>
      <c r="G3375" s="291"/>
      <c r="H3375" s="287"/>
      <c r="I3375" s="211"/>
      <c r="J3375" s="211"/>
      <c r="K3375" s="288"/>
    </row>
    <row r="3376" spans="4:11" x14ac:dyDescent="0.2">
      <c r="D3376" s="308"/>
      <c r="E3376" s="291"/>
      <c r="F3376" s="291"/>
      <c r="G3376" s="291"/>
      <c r="H3376" s="287"/>
      <c r="I3376" s="211"/>
      <c r="J3376" s="211"/>
      <c r="K3376" s="288"/>
    </row>
    <row r="3377" spans="4:11" x14ac:dyDescent="0.2">
      <c r="D3377" s="308"/>
      <c r="E3377" s="291"/>
      <c r="F3377" s="291"/>
      <c r="G3377" s="291"/>
      <c r="H3377" s="287"/>
      <c r="I3377" s="211"/>
      <c r="J3377" s="211"/>
      <c r="K3377" s="288"/>
    </row>
    <row r="3378" spans="4:11" x14ac:dyDescent="0.2">
      <c r="D3378" s="308"/>
      <c r="E3378" s="291"/>
      <c r="F3378" s="291"/>
      <c r="G3378" s="291"/>
      <c r="H3378" s="287"/>
      <c r="I3378" s="211"/>
      <c r="J3378" s="211"/>
      <c r="K3378" s="288"/>
    </row>
    <row r="3379" spans="4:11" x14ac:dyDescent="0.2">
      <c r="D3379" s="308"/>
      <c r="E3379" s="291"/>
      <c r="F3379" s="291"/>
      <c r="G3379" s="291"/>
      <c r="H3379" s="287"/>
      <c r="I3379" s="211"/>
      <c r="J3379" s="211"/>
      <c r="K3379" s="288"/>
    </row>
    <row r="3380" spans="4:11" x14ac:dyDescent="0.2">
      <c r="D3380" s="308"/>
      <c r="E3380" s="291"/>
      <c r="F3380" s="291"/>
      <c r="G3380" s="291"/>
      <c r="H3380" s="287"/>
      <c r="I3380" s="211"/>
      <c r="J3380" s="211"/>
      <c r="K3380" s="288"/>
    </row>
    <row r="3381" spans="4:11" x14ac:dyDescent="0.2">
      <c r="D3381" s="308"/>
      <c r="E3381" s="291"/>
      <c r="F3381" s="291"/>
      <c r="G3381" s="291"/>
      <c r="H3381" s="287"/>
      <c r="I3381" s="211"/>
      <c r="J3381" s="211"/>
      <c r="K3381" s="288"/>
    </row>
    <row r="3382" spans="4:11" x14ac:dyDescent="0.2">
      <c r="D3382" s="308"/>
      <c r="E3382" s="291"/>
      <c r="F3382" s="291"/>
      <c r="G3382" s="291"/>
      <c r="H3382" s="287"/>
      <c r="I3382" s="211"/>
      <c r="J3382" s="211"/>
      <c r="K3382" s="288"/>
    </row>
    <row r="3383" spans="4:11" x14ac:dyDescent="0.2">
      <c r="D3383" s="308"/>
      <c r="E3383" s="291"/>
      <c r="F3383" s="291"/>
      <c r="G3383" s="291"/>
      <c r="H3383" s="287"/>
      <c r="I3383" s="211"/>
      <c r="J3383" s="211"/>
      <c r="K3383" s="288"/>
    </row>
    <row r="3384" spans="4:11" x14ac:dyDescent="0.2">
      <c r="D3384" s="308"/>
      <c r="E3384" s="291"/>
      <c r="F3384" s="291"/>
      <c r="G3384" s="291"/>
      <c r="H3384" s="287"/>
      <c r="I3384" s="211"/>
      <c r="J3384" s="211"/>
      <c r="K3384" s="288"/>
    </row>
    <row r="3385" spans="4:11" x14ac:dyDescent="0.2">
      <c r="D3385" s="308"/>
      <c r="E3385" s="291"/>
      <c r="F3385" s="291"/>
      <c r="G3385" s="291"/>
      <c r="H3385" s="287"/>
      <c r="I3385" s="211"/>
      <c r="J3385" s="211"/>
      <c r="K3385" s="288"/>
    </row>
    <row r="3386" spans="4:11" x14ac:dyDescent="0.2">
      <c r="D3386" s="308"/>
      <c r="E3386" s="291"/>
      <c r="F3386" s="291"/>
      <c r="G3386" s="291"/>
      <c r="H3386" s="287"/>
      <c r="I3386" s="211"/>
      <c r="J3386" s="211"/>
      <c r="K3386" s="288"/>
    </row>
    <row r="3387" spans="4:11" x14ac:dyDescent="0.2">
      <c r="D3387" s="308"/>
      <c r="E3387" s="291"/>
      <c r="F3387" s="291"/>
      <c r="G3387" s="291"/>
      <c r="H3387" s="287"/>
      <c r="I3387" s="211"/>
      <c r="J3387" s="211"/>
      <c r="K3387" s="288"/>
    </row>
    <row r="3388" spans="4:11" x14ac:dyDescent="0.2">
      <c r="D3388" s="308"/>
      <c r="E3388" s="291"/>
      <c r="F3388" s="291"/>
      <c r="G3388" s="291"/>
      <c r="H3388" s="287"/>
      <c r="I3388" s="211"/>
      <c r="J3388" s="211"/>
      <c r="K3388" s="288"/>
    </row>
    <row r="3389" spans="4:11" x14ac:dyDescent="0.2">
      <c r="D3389" s="308"/>
      <c r="E3389" s="291"/>
      <c r="F3389" s="291"/>
      <c r="G3389" s="291"/>
      <c r="H3389" s="287"/>
      <c r="I3389" s="211"/>
      <c r="J3389" s="211"/>
      <c r="K3389" s="288"/>
    </row>
    <row r="3390" spans="4:11" x14ac:dyDescent="0.2">
      <c r="D3390" s="308"/>
      <c r="E3390" s="291"/>
      <c r="F3390" s="291"/>
      <c r="G3390" s="291"/>
      <c r="H3390" s="287"/>
      <c r="I3390" s="211"/>
      <c r="J3390" s="211"/>
      <c r="K3390" s="288"/>
    </row>
    <row r="3391" spans="4:11" x14ac:dyDescent="0.2">
      <c r="D3391" s="308"/>
      <c r="E3391" s="291"/>
      <c r="F3391" s="291"/>
      <c r="G3391" s="291"/>
      <c r="H3391" s="287"/>
      <c r="I3391" s="211"/>
      <c r="J3391" s="211"/>
      <c r="K3391" s="288"/>
    </row>
    <row r="3392" spans="4:11" x14ac:dyDescent="0.2">
      <c r="D3392" s="308"/>
      <c r="E3392" s="291"/>
      <c r="F3392" s="291"/>
      <c r="G3392" s="291"/>
      <c r="H3392" s="287"/>
      <c r="I3392" s="211"/>
      <c r="J3392" s="211"/>
      <c r="K3392" s="288"/>
    </row>
    <row r="3393" spans="4:11" x14ac:dyDescent="0.2">
      <c r="D3393" s="308"/>
      <c r="E3393" s="291"/>
      <c r="F3393" s="291"/>
      <c r="G3393" s="291"/>
      <c r="H3393" s="287"/>
      <c r="I3393" s="211"/>
      <c r="J3393" s="211"/>
      <c r="K3393" s="288"/>
    </row>
    <row r="3394" spans="4:11" x14ac:dyDescent="0.2">
      <c r="D3394" s="308"/>
      <c r="E3394" s="291"/>
      <c r="F3394" s="291"/>
      <c r="G3394" s="291"/>
      <c r="H3394" s="287"/>
      <c r="I3394" s="211"/>
      <c r="J3394" s="211"/>
      <c r="K3394" s="288"/>
    </row>
    <row r="3395" spans="4:11" x14ac:dyDescent="0.2">
      <c r="D3395" s="308"/>
      <c r="E3395" s="291"/>
      <c r="F3395" s="291"/>
      <c r="G3395" s="291"/>
      <c r="H3395" s="287"/>
      <c r="I3395" s="211"/>
      <c r="J3395" s="211"/>
      <c r="K3395" s="288"/>
    </row>
    <row r="3396" spans="4:11" x14ac:dyDescent="0.2">
      <c r="D3396" s="308"/>
      <c r="E3396" s="291"/>
      <c r="F3396" s="291"/>
      <c r="G3396" s="291"/>
      <c r="H3396" s="287"/>
      <c r="I3396" s="211"/>
      <c r="J3396" s="211"/>
      <c r="K3396" s="288"/>
    </row>
    <row r="3397" spans="4:11" x14ac:dyDescent="0.2">
      <c r="D3397" s="308"/>
      <c r="E3397" s="291"/>
      <c r="F3397" s="291"/>
      <c r="G3397" s="291"/>
      <c r="H3397" s="287"/>
      <c r="I3397" s="211"/>
      <c r="J3397" s="211"/>
      <c r="K3397" s="288"/>
    </row>
    <row r="3398" spans="4:11" x14ac:dyDescent="0.2">
      <c r="D3398" s="308"/>
      <c r="E3398" s="291"/>
      <c r="F3398" s="291"/>
      <c r="G3398" s="291"/>
      <c r="H3398" s="287"/>
      <c r="I3398" s="211"/>
      <c r="J3398" s="211"/>
      <c r="K3398" s="288"/>
    </row>
    <row r="3399" spans="4:11" x14ac:dyDescent="0.2">
      <c r="D3399" s="308"/>
      <c r="E3399" s="291"/>
      <c r="F3399" s="291"/>
      <c r="G3399" s="291"/>
      <c r="H3399" s="287"/>
      <c r="I3399" s="211"/>
      <c r="J3399" s="211"/>
      <c r="K3399" s="288"/>
    </row>
    <row r="3400" spans="4:11" x14ac:dyDescent="0.2">
      <c r="D3400" s="308"/>
      <c r="E3400" s="291"/>
      <c r="F3400" s="291"/>
      <c r="G3400" s="291"/>
      <c r="H3400" s="287"/>
      <c r="I3400" s="211"/>
      <c r="J3400" s="211"/>
      <c r="K3400" s="288"/>
    </row>
    <row r="3401" spans="4:11" x14ac:dyDescent="0.2">
      <c r="D3401" s="308"/>
      <c r="E3401" s="291"/>
      <c r="F3401" s="291"/>
      <c r="G3401" s="291"/>
      <c r="H3401" s="287"/>
      <c r="I3401" s="211"/>
      <c r="J3401" s="211"/>
      <c r="K3401" s="288"/>
    </row>
    <row r="3402" spans="4:11" x14ac:dyDescent="0.2">
      <c r="D3402" s="308"/>
      <c r="E3402" s="291"/>
      <c r="F3402" s="291"/>
      <c r="G3402" s="291"/>
      <c r="H3402" s="287"/>
      <c r="I3402" s="211"/>
      <c r="J3402" s="211"/>
      <c r="K3402" s="288"/>
    </row>
    <row r="3403" spans="4:11" x14ac:dyDescent="0.2">
      <c r="D3403" s="308"/>
      <c r="E3403" s="291"/>
      <c r="F3403" s="291"/>
      <c r="G3403" s="291"/>
      <c r="H3403" s="287"/>
      <c r="I3403" s="211"/>
      <c r="J3403" s="211"/>
      <c r="K3403" s="288"/>
    </row>
    <row r="3404" spans="4:11" x14ac:dyDescent="0.2">
      <c r="D3404" s="308"/>
      <c r="E3404" s="291"/>
      <c r="F3404" s="291"/>
      <c r="G3404" s="291"/>
      <c r="H3404" s="287"/>
      <c r="I3404" s="211"/>
      <c r="J3404" s="211"/>
      <c r="K3404" s="288"/>
    </row>
    <row r="3405" spans="4:11" x14ac:dyDescent="0.2">
      <c r="D3405" s="308"/>
      <c r="E3405" s="291"/>
      <c r="F3405" s="291"/>
      <c r="G3405" s="291"/>
      <c r="H3405" s="287"/>
      <c r="I3405" s="211"/>
      <c r="J3405" s="211"/>
      <c r="K3405" s="288"/>
    </row>
    <row r="3406" spans="4:11" x14ac:dyDescent="0.2">
      <c r="D3406" s="308"/>
      <c r="E3406" s="291"/>
      <c r="F3406" s="291"/>
      <c r="G3406" s="291"/>
      <c r="H3406" s="287"/>
      <c r="I3406" s="211"/>
      <c r="J3406" s="211"/>
      <c r="K3406" s="288"/>
    </row>
    <row r="3407" spans="4:11" x14ac:dyDescent="0.2">
      <c r="D3407" s="308"/>
      <c r="E3407" s="291"/>
      <c r="F3407" s="291"/>
      <c r="G3407" s="291"/>
      <c r="H3407" s="287"/>
      <c r="I3407" s="211"/>
      <c r="J3407" s="211"/>
      <c r="K3407" s="288"/>
    </row>
    <row r="3408" spans="4:11" x14ac:dyDescent="0.2">
      <c r="D3408" s="308"/>
      <c r="E3408" s="291"/>
      <c r="F3408" s="291"/>
      <c r="G3408" s="291"/>
      <c r="H3408" s="287"/>
      <c r="I3408" s="211"/>
      <c r="J3408" s="211"/>
      <c r="K3408" s="288"/>
    </row>
    <row r="3409" spans="4:11" x14ac:dyDescent="0.2">
      <c r="D3409" s="308"/>
      <c r="E3409" s="291"/>
      <c r="F3409" s="291"/>
      <c r="G3409" s="291"/>
      <c r="H3409" s="287"/>
      <c r="I3409" s="211"/>
      <c r="J3409" s="211"/>
      <c r="K3409" s="288"/>
    </row>
    <row r="3410" spans="4:11" x14ac:dyDescent="0.2">
      <c r="D3410" s="308"/>
      <c r="E3410" s="291"/>
      <c r="F3410" s="291"/>
      <c r="G3410" s="291"/>
      <c r="H3410" s="287"/>
      <c r="I3410" s="211"/>
      <c r="J3410" s="211"/>
      <c r="K3410" s="288"/>
    </row>
    <row r="3411" spans="4:11" x14ac:dyDescent="0.2">
      <c r="D3411" s="308"/>
      <c r="E3411" s="291"/>
      <c r="F3411" s="291"/>
      <c r="G3411" s="291"/>
      <c r="H3411" s="287"/>
      <c r="I3411" s="211"/>
      <c r="J3411" s="211"/>
      <c r="K3411" s="288"/>
    </row>
    <row r="3412" spans="4:11" x14ac:dyDescent="0.2">
      <c r="D3412" s="308"/>
      <c r="E3412" s="291"/>
      <c r="F3412" s="291"/>
      <c r="G3412" s="291"/>
      <c r="H3412" s="287"/>
      <c r="I3412" s="211"/>
      <c r="J3412" s="211"/>
      <c r="K3412" s="288"/>
    </row>
    <row r="3413" spans="4:11" x14ac:dyDescent="0.2">
      <c r="D3413" s="308"/>
      <c r="E3413" s="291"/>
      <c r="F3413" s="291"/>
      <c r="G3413" s="291"/>
      <c r="H3413" s="287"/>
      <c r="I3413" s="211"/>
      <c r="J3413" s="211"/>
      <c r="K3413" s="288"/>
    </row>
    <row r="3414" spans="4:11" x14ac:dyDescent="0.2">
      <c r="D3414" s="308"/>
      <c r="E3414" s="291"/>
      <c r="F3414" s="291"/>
      <c r="G3414" s="291"/>
      <c r="H3414" s="287"/>
      <c r="I3414" s="211"/>
      <c r="J3414" s="211"/>
      <c r="K3414" s="288"/>
    </row>
    <row r="3415" spans="4:11" x14ac:dyDescent="0.2">
      <c r="D3415" s="308"/>
      <c r="E3415" s="291"/>
      <c r="F3415" s="291"/>
      <c r="G3415" s="291"/>
      <c r="H3415" s="287"/>
      <c r="I3415" s="211"/>
      <c r="J3415" s="211"/>
      <c r="K3415" s="288"/>
    </row>
    <row r="3416" spans="4:11" x14ac:dyDescent="0.2">
      <c r="D3416" s="308"/>
      <c r="E3416" s="291"/>
      <c r="F3416" s="291"/>
      <c r="G3416" s="291"/>
      <c r="H3416" s="287"/>
      <c r="I3416" s="211"/>
      <c r="J3416" s="211"/>
      <c r="K3416" s="288"/>
    </row>
    <row r="3417" spans="4:11" x14ac:dyDescent="0.2">
      <c r="D3417" s="308"/>
      <c r="E3417" s="291"/>
      <c r="F3417" s="291"/>
      <c r="G3417" s="291"/>
      <c r="H3417" s="287"/>
      <c r="I3417" s="211"/>
      <c r="J3417" s="211"/>
      <c r="K3417" s="288"/>
    </row>
    <row r="3418" spans="4:11" x14ac:dyDescent="0.2">
      <c r="D3418" s="308"/>
      <c r="E3418" s="291"/>
      <c r="F3418" s="291"/>
      <c r="G3418" s="291"/>
      <c r="H3418" s="287"/>
      <c r="I3418" s="211"/>
      <c r="J3418" s="211"/>
      <c r="K3418" s="288"/>
    </row>
    <row r="3419" spans="4:11" x14ac:dyDescent="0.2">
      <c r="D3419" s="308"/>
      <c r="E3419" s="291"/>
      <c r="F3419" s="291"/>
      <c r="G3419" s="291"/>
      <c r="H3419" s="287"/>
      <c r="I3419" s="211"/>
      <c r="J3419" s="211"/>
      <c r="K3419" s="288"/>
    </row>
    <row r="3420" spans="4:11" x14ac:dyDescent="0.2">
      <c r="D3420" s="308"/>
      <c r="E3420" s="291"/>
      <c r="F3420" s="291"/>
      <c r="G3420" s="291"/>
      <c r="H3420" s="287"/>
      <c r="I3420" s="211"/>
      <c r="J3420" s="211"/>
      <c r="K3420" s="288"/>
    </row>
    <row r="3421" spans="4:11" x14ac:dyDescent="0.2">
      <c r="D3421" s="308"/>
      <c r="E3421" s="291"/>
      <c r="F3421" s="291"/>
      <c r="G3421" s="291"/>
      <c r="H3421" s="287"/>
      <c r="I3421" s="211"/>
      <c r="J3421" s="211"/>
      <c r="K3421" s="288"/>
    </row>
    <row r="3422" spans="4:11" x14ac:dyDescent="0.2">
      <c r="D3422" s="308"/>
      <c r="E3422" s="291"/>
      <c r="F3422" s="291"/>
      <c r="G3422" s="291"/>
      <c r="H3422" s="287"/>
      <c r="I3422" s="211"/>
      <c r="J3422" s="211"/>
      <c r="K3422" s="288"/>
    </row>
    <row r="3423" spans="4:11" x14ac:dyDescent="0.2">
      <c r="D3423" s="308"/>
      <c r="E3423" s="291"/>
      <c r="F3423" s="291"/>
      <c r="G3423" s="291"/>
      <c r="H3423" s="287"/>
      <c r="I3423" s="211"/>
      <c r="J3423" s="211"/>
      <c r="K3423" s="288"/>
    </row>
    <row r="3424" spans="4:11" x14ac:dyDescent="0.2">
      <c r="D3424" s="308"/>
      <c r="E3424" s="291"/>
      <c r="F3424" s="291"/>
      <c r="G3424" s="291"/>
      <c r="H3424" s="287"/>
      <c r="I3424" s="211"/>
      <c r="J3424" s="211"/>
      <c r="K3424" s="288"/>
    </row>
    <row r="3425" spans="4:11" x14ac:dyDescent="0.2">
      <c r="D3425" s="308"/>
      <c r="E3425" s="291"/>
      <c r="F3425" s="291"/>
      <c r="G3425" s="291"/>
      <c r="H3425" s="287"/>
      <c r="I3425" s="211"/>
      <c r="J3425" s="211"/>
      <c r="K3425" s="288"/>
    </row>
    <row r="3426" spans="4:11" x14ac:dyDescent="0.2">
      <c r="D3426" s="308"/>
      <c r="E3426" s="291"/>
      <c r="F3426" s="291"/>
      <c r="G3426" s="291"/>
      <c r="H3426" s="287"/>
      <c r="I3426" s="211"/>
      <c r="J3426" s="211"/>
      <c r="K3426" s="288"/>
    </row>
    <row r="3427" spans="4:11" x14ac:dyDescent="0.2">
      <c r="D3427" s="308"/>
      <c r="E3427" s="291"/>
      <c r="F3427" s="291"/>
      <c r="G3427" s="291"/>
      <c r="H3427" s="287"/>
      <c r="I3427" s="211"/>
      <c r="J3427" s="211"/>
      <c r="K3427" s="288"/>
    </row>
    <row r="3428" spans="4:11" x14ac:dyDescent="0.2">
      <c r="D3428" s="308"/>
      <c r="E3428" s="291"/>
      <c r="F3428" s="291"/>
      <c r="G3428" s="291"/>
      <c r="H3428" s="287"/>
      <c r="I3428" s="211"/>
      <c r="J3428" s="211"/>
      <c r="K3428" s="288"/>
    </row>
    <row r="3429" spans="4:11" x14ac:dyDescent="0.2">
      <c r="D3429" s="308"/>
      <c r="E3429" s="291"/>
      <c r="F3429" s="291"/>
      <c r="G3429" s="291"/>
      <c r="H3429" s="287"/>
      <c r="I3429" s="211"/>
      <c r="J3429" s="211"/>
      <c r="K3429" s="288"/>
    </row>
    <row r="3430" spans="4:11" x14ac:dyDescent="0.2">
      <c r="D3430" s="308"/>
      <c r="E3430" s="291"/>
      <c r="F3430" s="291"/>
      <c r="G3430" s="291"/>
      <c r="H3430" s="287"/>
      <c r="I3430" s="211"/>
      <c r="J3430" s="211"/>
      <c r="K3430" s="288"/>
    </row>
    <row r="3431" spans="4:11" x14ac:dyDescent="0.2">
      <c r="D3431" s="308"/>
      <c r="E3431" s="291"/>
      <c r="F3431" s="291"/>
      <c r="G3431" s="291"/>
      <c r="H3431" s="287"/>
      <c r="I3431" s="211"/>
      <c r="J3431" s="211"/>
      <c r="K3431" s="288"/>
    </row>
    <row r="3432" spans="4:11" x14ac:dyDescent="0.2">
      <c r="D3432" s="308"/>
      <c r="E3432" s="291"/>
      <c r="F3432" s="291"/>
      <c r="G3432" s="291"/>
      <c r="H3432" s="287"/>
      <c r="I3432" s="211"/>
      <c r="J3432" s="211"/>
      <c r="K3432" s="288"/>
    </row>
    <row r="3433" spans="4:11" x14ac:dyDescent="0.2">
      <c r="D3433" s="308"/>
      <c r="E3433" s="291"/>
      <c r="F3433" s="291"/>
      <c r="G3433" s="291"/>
      <c r="H3433" s="287"/>
      <c r="I3433" s="211"/>
      <c r="J3433" s="211"/>
      <c r="K3433" s="288"/>
    </row>
    <row r="3434" spans="4:11" x14ac:dyDescent="0.2">
      <c r="D3434" s="308"/>
      <c r="E3434" s="291"/>
      <c r="F3434" s="291"/>
      <c r="G3434" s="291"/>
      <c r="H3434" s="287"/>
      <c r="I3434" s="211"/>
      <c r="J3434" s="211"/>
      <c r="K3434" s="288"/>
    </row>
    <row r="3435" spans="4:11" x14ac:dyDescent="0.2">
      <c r="D3435" s="308"/>
      <c r="E3435" s="291"/>
      <c r="F3435" s="291"/>
      <c r="G3435" s="291"/>
      <c r="H3435" s="287"/>
      <c r="I3435" s="211"/>
      <c r="J3435" s="211"/>
      <c r="K3435" s="288"/>
    </row>
    <row r="3436" spans="4:11" x14ac:dyDescent="0.2">
      <c r="D3436" s="308"/>
      <c r="E3436" s="291"/>
      <c r="F3436" s="291"/>
      <c r="G3436" s="291"/>
      <c r="H3436" s="287"/>
      <c r="I3436" s="211"/>
      <c r="J3436" s="211"/>
      <c r="K3436" s="288"/>
    </row>
    <row r="3437" spans="4:11" x14ac:dyDescent="0.2">
      <c r="D3437" s="308"/>
      <c r="E3437" s="291"/>
      <c r="F3437" s="291"/>
      <c r="G3437" s="291"/>
      <c r="H3437" s="287"/>
      <c r="I3437" s="211"/>
      <c r="J3437" s="211"/>
      <c r="K3437" s="288"/>
    </row>
    <row r="3438" spans="4:11" x14ac:dyDescent="0.2">
      <c r="D3438" s="308"/>
      <c r="E3438" s="291"/>
      <c r="F3438" s="291"/>
      <c r="G3438" s="291"/>
      <c r="H3438" s="287"/>
      <c r="I3438" s="211"/>
      <c r="J3438" s="211"/>
      <c r="K3438" s="288"/>
    </row>
    <row r="3439" spans="4:11" x14ac:dyDescent="0.2">
      <c r="D3439" s="308"/>
      <c r="E3439" s="291"/>
      <c r="F3439" s="291"/>
      <c r="G3439" s="291"/>
      <c r="H3439" s="287"/>
      <c r="I3439" s="211"/>
      <c r="J3439" s="211"/>
      <c r="K3439" s="288"/>
    </row>
    <row r="3440" spans="4:11" x14ac:dyDescent="0.2">
      <c r="D3440" s="308"/>
      <c r="E3440" s="291"/>
      <c r="F3440" s="291"/>
      <c r="G3440" s="291"/>
      <c r="H3440" s="287"/>
      <c r="I3440" s="211"/>
      <c r="J3440" s="211"/>
      <c r="K3440" s="288"/>
    </row>
    <row r="3441" spans="4:11" x14ac:dyDescent="0.2">
      <c r="D3441" s="308"/>
      <c r="E3441" s="291"/>
      <c r="F3441" s="291"/>
      <c r="G3441" s="291"/>
      <c r="H3441" s="287"/>
      <c r="I3441" s="211"/>
      <c r="J3441" s="211"/>
      <c r="K3441" s="288"/>
    </row>
    <row r="3442" spans="4:11" x14ac:dyDescent="0.2">
      <c r="D3442" s="308"/>
      <c r="E3442" s="291"/>
      <c r="F3442" s="291"/>
      <c r="G3442" s="291"/>
      <c r="H3442" s="287"/>
      <c r="I3442" s="211"/>
      <c r="J3442" s="211"/>
      <c r="K3442" s="288"/>
    </row>
    <row r="3443" spans="4:11" x14ac:dyDescent="0.2">
      <c r="D3443" s="308"/>
      <c r="E3443" s="291"/>
      <c r="F3443" s="291"/>
      <c r="G3443" s="291"/>
      <c r="H3443" s="287"/>
      <c r="I3443" s="211"/>
      <c r="J3443" s="211"/>
      <c r="K3443" s="288"/>
    </row>
    <row r="3444" spans="4:11" x14ac:dyDescent="0.2">
      <c r="D3444" s="308"/>
      <c r="E3444" s="291"/>
      <c r="F3444" s="291"/>
      <c r="G3444" s="291"/>
      <c r="H3444" s="287"/>
      <c r="I3444" s="211"/>
      <c r="J3444" s="211"/>
      <c r="K3444" s="288"/>
    </row>
    <row r="3445" spans="4:11" x14ac:dyDescent="0.2">
      <c r="D3445" s="308"/>
      <c r="E3445" s="291"/>
      <c r="F3445" s="291"/>
      <c r="G3445" s="291"/>
      <c r="H3445" s="287"/>
      <c r="I3445" s="211"/>
      <c r="J3445" s="211"/>
      <c r="K3445" s="288"/>
    </row>
    <row r="3446" spans="4:11" x14ac:dyDescent="0.2">
      <c r="D3446" s="308"/>
      <c r="E3446" s="291"/>
      <c r="F3446" s="291"/>
      <c r="G3446" s="291"/>
      <c r="H3446" s="287"/>
      <c r="I3446" s="211"/>
      <c r="J3446" s="211"/>
      <c r="K3446" s="288"/>
    </row>
    <row r="3447" spans="4:11" x14ac:dyDescent="0.2">
      <c r="D3447" s="308"/>
      <c r="E3447" s="291"/>
      <c r="F3447" s="291"/>
      <c r="G3447" s="291"/>
      <c r="H3447" s="287"/>
      <c r="I3447" s="211"/>
      <c r="J3447" s="211"/>
      <c r="K3447" s="288"/>
    </row>
    <row r="3448" spans="4:11" x14ac:dyDescent="0.2">
      <c r="D3448" s="308"/>
      <c r="E3448" s="291"/>
      <c r="F3448" s="291"/>
      <c r="G3448" s="291"/>
      <c r="H3448" s="287"/>
      <c r="I3448" s="211"/>
      <c r="J3448" s="211"/>
      <c r="K3448" s="288"/>
    </row>
    <row r="3449" spans="4:11" x14ac:dyDescent="0.2">
      <c r="D3449" s="308"/>
      <c r="E3449" s="291"/>
      <c r="F3449" s="291"/>
      <c r="G3449" s="291"/>
      <c r="H3449" s="287"/>
      <c r="I3449" s="211"/>
      <c r="J3449" s="211"/>
      <c r="K3449" s="288"/>
    </row>
    <row r="3450" spans="4:11" x14ac:dyDescent="0.2">
      <c r="D3450" s="308"/>
      <c r="E3450" s="291"/>
      <c r="F3450" s="291"/>
      <c r="G3450" s="291"/>
      <c r="H3450" s="287"/>
      <c r="I3450" s="211"/>
      <c r="J3450" s="211"/>
      <c r="K3450" s="288"/>
    </row>
    <row r="3451" spans="4:11" x14ac:dyDescent="0.2">
      <c r="D3451" s="308"/>
      <c r="E3451" s="291"/>
      <c r="F3451" s="291"/>
      <c r="G3451" s="291"/>
      <c r="H3451" s="287"/>
      <c r="I3451" s="211"/>
      <c r="J3451" s="211"/>
      <c r="K3451" s="288"/>
    </row>
    <row r="3452" spans="4:11" x14ac:dyDescent="0.2">
      <c r="D3452" s="308"/>
      <c r="E3452" s="291"/>
      <c r="F3452" s="291"/>
      <c r="G3452" s="291"/>
      <c r="H3452" s="287"/>
      <c r="I3452" s="211"/>
      <c r="J3452" s="211"/>
      <c r="K3452" s="288"/>
    </row>
    <row r="3453" spans="4:11" x14ac:dyDescent="0.2">
      <c r="D3453" s="308"/>
      <c r="E3453" s="291"/>
      <c r="F3453" s="291"/>
      <c r="G3453" s="291"/>
      <c r="H3453" s="287"/>
      <c r="I3453" s="211"/>
      <c r="J3453" s="211"/>
      <c r="K3453" s="288"/>
    </row>
    <row r="3454" spans="4:11" x14ac:dyDescent="0.2">
      <c r="D3454" s="308"/>
      <c r="E3454" s="291"/>
      <c r="F3454" s="291"/>
      <c r="G3454" s="291"/>
      <c r="H3454" s="287"/>
      <c r="I3454" s="211"/>
      <c r="J3454" s="211"/>
      <c r="K3454" s="288"/>
    </row>
    <row r="3455" spans="4:11" x14ac:dyDescent="0.2">
      <c r="D3455" s="308"/>
      <c r="E3455" s="291"/>
      <c r="F3455" s="291"/>
      <c r="G3455" s="291"/>
      <c r="H3455" s="287"/>
      <c r="I3455" s="211"/>
      <c r="J3455" s="211"/>
      <c r="K3455" s="288"/>
    </row>
    <row r="3456" spans="4:11" x14ac:dyDescent="0.2">
      <c r="D3456" s="308"/>
      <c r="E3456" s="291"/>
      <c r="F3456" s="291"/>
      <c r="G3456" s="291"/>
      <c r="H3456" s="287"/>
      <c r="I3456" s="211"/>
      <c r="J3456" s="211"/>
      <c r="K3456" s="288"/>
    </row>
    <row r="3457" spans="4:11" x14ac:dyDescent="0.2">
      <c r="D3457" s="308"/>
      <c r="E3457" s="291"/>
      <c r="F3457" s="291"/>
      <c r="G3457" s="291"/>
      <c r="H3457" s="287"/>
      <c r="I3457" s="211"/>
      <c r="J3457" s="211"/>
      <c r="K3457" s="288"/>
    </row>
    <row r="3458" spans="4:11" x14ac:dyDescent="0.2">
      <c r="D3458" s="308"/>
      <c r="E3458" s="291"/>
      <c r="F3458" s="291"/>
      <c r="G3458" s="291"/>
      <c r="H3458" s="287"/>
      <c r="I3458" s="211"/>
      <c r="J3458" s="211"/>
      <c r="K3458" s="288"/>
    </row>
    <row r="3459" spans="4:11" x14ac:dyDescent="0.2">
      <c r="D3459" s="308"/>
      <c r="E3459" s="291"/>
      <c r="F3459" s="291"/>
      <c r="G3459" s="291"/>
      <c r="H3459" s="287"/>
      <c r="I3459" s="211"/>
      <c r="J3459" s="211"/>
      <c r="K3459" s="288"/>
    </row>
    <row r="3460" spans="4:11" x14ac:dyDescent="0.2">
      <c r="D3460" s="308"/>
      <c r="E3460" s="291"/>
      <c r="F3460" s="291"/>
      <c r="G3460" s="291"/>
      <c r="H3460" s="287"/>
      <c r="I3460" s="211"/>
      <c r="J3460" s="211"/>
      <c r="K3460" s="288"/>
    </row>
    <row r="3461" spans="4:11" x14ac:dyDescent="0.2">
      <c r="D3461" s="308"/>
      <c r="E3461" s="291"/>
      <c r="F3461" s="291"/>
      <c r="G3461" s="291"/>
      <c r="H3461" s="287"/>
      <c r="I3461" s="211"/>
      <c r="J3461" s="211"/>
      <c r="K3461" s="288"/>
    </row>
    <row r="3462" spans="4:11" x14ac:dyDescent="0.2">
      <c r="D3462" s="308"/>
      <c r="E3462" s="291"/>
      <c r="F3462" s="291"/>
      <c r="G3462" s="291"/>
      <c r="H3462" s="287"/>
      <c r="I3462" s="211"/>
      <c r="J3462" s="211"/>
      <c r="K3462" s="288"/>
    </row>
    <row r="3463" spans="4:11" x14ac:dyDescent="0.2">
      <c r="D3463" s="308"/>
      <c r="E3463" s="291"/>
      <c r="F3463" s="291"/>
      <c r="G3463" s="291"/>
      <c r="H3463" s="287"/>
      <c r="I3463" s="211"/>
      <c r="J3463" s="211"/>
      <c r="K3463" s="288"/>
    </row>
    <row r="3464" spans="4:11" x14ac:dyDescent="0.2">
      <c r="D3464" s="308"/>
      <c r="E3464" s="291"/>
      <c r="F3464" s="291"/>
      <c r="G3464" s="291"/>
      <c r="H3464" s="287"/>
      <c r="I3464" s="211"/>
      <c r="J3464" s="211"/>
      <c r="K3464" s="288"/>
    </row>
    <row r="3465" spans="4:11" x14ac:dyDescent="0.2">
      <c r="D3465" s="308"/>
      <c r="E3465" s="291"/>
      <c r="F3465" s="291"/>
      <c r="G3465" s="291"/>
      <c r="H3465" s="287"/>
      <c r="I3465" s="211"/>
      <c r="J3465" s="211"/>
      <c r="K3465" s="288"/>
    </row>
    <row r="3466" spans="4:11" x14ac:dyDescent="0.2">
      <c r="D3466" s="308"/>
      <c r="E3466" s="291"/>
      <c r="F3466" s="291"/>
      <c r="G3466" s="291"/>
      <c r="H3466" s="287"/>
      <c r="I3466" s="211"/>
      <c r="J3466" s="211"/>
      <c r="K3466" s="288"/>
    </row>
    <row r="3467" spans="4:11" x14ac:dyDescent="0.2">
      <c r="D3467" s="308"/>
      <c r="E3467" s="291"/>
      <c r="F3467" s="291"/>
      <c r="G3467" s="291"/>
      <c r="H3467" s="287"/>
      <c r="I3467" s="211"/>
      <c r="J3467" s="211"/>
      <c r="K3467" s="288"/>
    </row>
    <row r="3468" spans="4:11" x14ac:dyDescent="0.2">
      <c r="D3468" s="308"/>
      <c r="E3468" s="291"/>
      <c r="F3468" s="291"/>
      <c r="G3468" s="291"/>
      <c r="H3468" s="287"/>
      <c r="I3468" s="211"/>
      <c r="J3468" s="211"/>
      <c r="K3468" s="288"/>
    </row>
    <row r="3469" spans="4:11" x14ac:dyDescent="0.2">
      <c r="D3469" s="308"/>
      <c r="E3469" s="291"/>
      <c r="F3469" s="291"/>
      <c r="G3469" s="291"/>
      <c r="H3469" s="287"/>
      <c r="I3469" s="211"/>
      <c r="J3469" s="211"/>
      <c r="K3469" s="288"/>
    </row>
    <row r="3470" spans="4:11" x14ac:dyDescent="0.2">
      <c r="D3470" s="308"/>
      <c r="E3470" s="291"/>
      <c r="F3470" s="291"/>
      <c r="G3470" s="291"/>
      <c r="H3470" s="287"/>
      <c r="I3470" s="211"/>
      <c r="J3470" s="211"/>
      <c r="K3470" s="288"/>
    </row>
    <row r="3471" spans="4:11" x14ac:dyDescent="0.2">
      <c r="D3471" s="308"/>
      <c r="E3471" s="291"/>
      <c r="F3471" s="291"/>
      <c r="G3471" s="291"/>
      <c r="H3471" s="287"/>
      <c r="I3471" s="211"/>
      <c r="J3471" s="211"/>
      <c r="K3471" s="288"/>
    </row>
    <row r="3472" spans="4:11" x14ac:dyDescent="0.2">
      <c r="D3472" s="308"/>
      <c r="E3472" s="291"/>
      <c r="F3472" s="291"/>
      <c r="G3472" s="291"/>
      <c r="H3472" s="287"/>
      <c r="I3472" s="211"/>
      <c r="J3472" s="211"/>
      <c r="K3472" s="288"/>
    </row>
    <row r="3473" spans="4:11" x14ac:dyDescent="0.2">
      <c r="D3473" s="308"/>
      <c r="E3473" s="291"/>
      <c r="F3473" s="291"/>
      <c r="G3473" s="291"/>
      <c r="H3473" s="287"/>
      <c r="I3473" s="211"/>
      <c r="J3473" s="211"/>
      <c r="K3473" s="288"/>
    </row>
    <row r="3474" spans="4:11" x14ac:dyDescent="0.2">
      <c r="D3474" s="308"/>
      <c r="E3474" s="291"/>
      <c r="F3474" s="291"/>
      <c r="G3474" s="291"/>
      <c r="H3474" s="287"/>
      <c r="I3474" s="211"/>
      <c r="J3474" s="211"/>
      <c r="K3474" s="288"/>
    </row>
    <row r="3475" spans="4:11" x14ac:dyDescent="0.2">
      <c r="D3475" s="308"/>
      <c r="E3475" s="291"/>
      <c r="F3475" s="291"/>
      <c r="G3475" s="291"/>
      <c r="H3475" s="287"/>
      <c r="I3475" s="211"/>
      <c r="J3475" s="211"/>
      <c r="K3475" s="288"/>
    </row>
    <row r="3476" spans="4:11" x14ac:dyDescent="0.2">
      <c r="D3476" s="308"/>
      <c r="E3476" s="291"/>
      <c r="F3476" s="291"/>
      <c r="G3476" s="291"/>
      <c r="H3476" s="287"/>
      <c r="I3476" s="211"/>
      <c r="J3476" s="211"/>
      <c r="K3476" s="288"/>
    </row>
    <row r="3477" spans="4:11" x14ac:dyDescent="0.2">
      <c r="D3477" s="308"/>
      <c r="E3477" s="291"/>
      <c r="F3477" s="291"/>
      <c r="G3477" s="291"/>
      <c r="H3477" s="287"/>
      <c r="I3477" s="211"/>
      <c r="J3477" s="211"/>
      <c r="K3477" s="288"/>
    </row>
    <row r="3478" spans="4:11" x14ac:dyDescent="0.2">
      <c r="D3478" s="308"/>
      <c r="E3478" s="291"/>
      <c r="F3478" s="291"/>
      <c r="G3478" s="291"/>
      <c r="H3478" s="287"/>
      <c r="I3478" s="211"/>
      <c r="J3478" s="211"/>
      <c r="K3478" s="288"/>
    </row>
    <row r="3479" spans="4:11" x14ac:dyDescent="0.2">
      <c r="D3479" s="308"/>
      <c r="E3479" s="291"/>
      <c r="F3479" s="291"/>
      <c r="G3479" s="291"/>
      <c r="H3479" s="287"/>
      <c r="I3479" s="211"/>
      <c r="J3479" s="211"/>
      <c r="K3479" s="288"/>
    </row>
    <row r="3480" spans="4:11" x14ac:dyDescent="0.2">
      <c r="D3480" s="308"/>
      <c r="E3480" s="291"/>
      <c r="F3480" s="291"/>
      <c r="G3480" s="291"/>
      <c r="H3480" s="287"/>
      <c r="I3480" s="211"/>
      <c r="J3480" s="211"/>
      <c r="K3480" s="288"/>
    </row>
    <row r="3481" spans="4:11" x14ac:dyDescent="0.2">
      <c r="D3481" s="308"/>
      <c r="E3481" s="291"/>
      <c r="F3481" s="291"/>
      <c r="G3481" s="291"/>
      <c r="H3481" s="287"/>
      <c r="I3481" s="211"/>
      <c r="J3481" s="211"/>
      <c r="K3481" s="288"/>
    </row>
    <row r="3482" spans="4:11" x14ac:dyDescent="0.2">
      <c r="D3482" s="308"/>
      <c r="E3482" s="291"/>
      <c r="F3482" s="291"/>
      <c r="G3482" s="291"/>
      <c r="H3482" s="287"/>
      <c r="I3482" s="211"/>
      <c r="J3482" s="211"/>
      <c r="K3482" s="288"/>
    </row>
    <row r="3483" spans="4:11" x14ac:dyDescent="0.2">
      <c r="D3483" s="308"/>
      <c r="E3483" s="291"/>
      <c r="F3483" s="291"/>
      <c r="G3483" s="291"/>
      <c r="H3483" s="287"/>
      <c r="I3483" s="211"/>
      <c r="J3483" s="211"/>
      <c r="K3483" s="288"/>
    </row>
    <row r="3484" spans="4:11" x14ac:dyDescent="0.2">
      <c r="D3484" s="308"/>
      <c r="E3484" s="291"/>
      <c r="F3484" s="291"/>
      <c r="G3484" s="291"/>
      <c r="H3484" s="287"/>
      <c r="I3484" s="211"/>
      <c r="J3484" s="211"/>
      <c r="K3484" s="288"/>
    </row>
    <row r="3485" spans="4:11" x14ac:dyDescent="0.2">
      <c r="D3485" s="308"/>
      <c r="E3485" s="291"/>
      <c r="F3485" s="291"/>
      <c r="G3485" s="291"/>
      <c r="H3485" s="287"/>
      <c r="I3485" s="211"/>
      <c r="J3485" s="211"/>
      <c r="K3485" s="288"/>
    </row>
    <row r="3486" spans="4:11" x14ac:dyDescent="0.2">
      <c r="D3486" s="308"/>
      <c r="E3486" s="291"/>
      <c r="F3486" s="291"/>
      <c r="G3486" s="291"/>
      <c r="H3486" s="287"/>
      <c r="I3486" s="211"/>
      <c r="J3486" s="211"/>
      <c r="K3486" s="288"/>
    </row>
    <row r="3487" spans="4:11" x14ac:dyDescent="0.2">
      <c r="D3487" s="308"/>
      <c r="E3487" s="291"/>
      <c r="F3487" s="291"/>
      <c r="G3487" s="291"/>
      <c r="H3487" s="287"/>
      <c r="I3487" s="211"/>
      <c r="J3487" s="211"/>
      <c r="K3487" s="288"/>
    </row>
    <row r="3488" spans="4:11" x14ac:dyDescent="0.2">
      <c r="D3488" s="308"/>
      <c r="E3488" s="291"/>
      <c r="F3488" s="291"/>
      <c r="G3488" s="291"/>
      <c r="H3488" s="287"/>
      <c r="I3488" s="211"/>
      <c r="J3488" s="211"/>
      <c r="K3488" s="288"/>
    </row>
    <row r="3489" spans="4:11" x14ac:dyDescent="0.2">
      <c r="D3489" s="308"/>
      <c r="E3489" s="291"/>
      <c r="F3489" s="291"/>
      <c r="G3489" s="291"/>
      <c r="H3489" s="287"/>
      <c r="I3489" s="211"/>
      <c r="J3489" s="211"/>
      <c r="K3489" s="288"/>
    </row>
    <row r="3490" spans="4:11" x14ac:dyDescent="0.2">
      <c r="D3490" s="308"/>
      <c r="E3490" s="291"/>
      <c r="F3490" s="291"/>
      <c r="G3490" s="291"/>
      <c r="H3490" s="287"/>
      <c r="I3490" s="211"/>
      <c r="J3490" s="211"/>
      <c r="K3490" s="288"/>
    </row>
    <row r="3491" spans="4:11" x14ac:dyDescent="0.2">
      <c r="D3491" s="308"/>
      <c r="E3491" s="291"/>
      <c r="F3491" s="291"/>
      <c r="G3491" s="291"/>
      <c r="H3491" s="287"/>
      <c r="I3491" s="211"/>
      <c r="J3491" s="211"/>
      <c r="K3491" s="288"/>
    </row>
    <row r="3492" spans="4:11" x14ac:dyDescent="0.2">
      <c r="D3492" s="308"/>
      <c r="E3492" s="291"/>
      <c r="F3492" s="291"/>
      <c r="G3492" s="291"/>
      <c r="H3492" s="287"/>
      <c r="I3492" s="211"/>
      <c r="J3492" s="211"/>
      <c r="K3492" s="288"/>
    </row>
    <row r="3493" spans="4:11" x14ac:dyDescent="0.2">
      <c r="D3493" s="308"/>
      <c r="E3493" s="291"/>
      <c r="F3493" s="291"/>
      <c r="G3493" s="291"/>
      <c r="H3493" s="287"/>
      <c r="I3493" s="211"/>
      <c r="J3493" s="211"/>
      <c r="K3493" s="288"/>
    </row>
    <row r="3494" spans="4:11" x14ac:dyDescent="0.2">
      <c r="D3494" s="308"/>
      <c r="E3494" s="291"/>
      <c r="F3494" s="291"/>
      <c r="G3494" s="291"/>
      <c r="H3494" s="287"/>
      <c r="I3494" s="211"/>
      <c r="J3494" s="211"/>
      <c r="K3494" s="288"/>
    </row>
    <row r="3495" spans="4:11" x14ac:dyDescent="0.2">
      <c r="D3495" s="308"/>
      <c r="E3495" s="291"/>
      <c r="F3495" s="291"/>
      <c r="G3495" s="291"/>
      <c r="H3495" s="287"/>
      <c r="I3495" s="211"/>
      <c r="J3495" s="211"/>
      <c r="K3495" s="288"/>
    </row>
    <row r="3496" spans="4:11" x14ac:dyDescent="0.2">
      <c r="D3496" s="308"/>
      <c r="E3496" s="291"/>
      <c r="F3496" s="291"/>
      <c r="G3496" s="291"/>
      <c r="H3496" s="287"/>
      <c r="I3496" s="211"/>
      <c r="J3496" s="211"/>
      <c r="K3496" s="288"/>
    </row>
    <row r="3497" spans="4:11" x14ac:dyDescent="0.2">
      <c r="D3497" s="308"/>
      <c r="E3497" s="291"/>
      <c r="F3497" s="291"/>
      <c r="G3497" s="291"/>
      <c r="H3497" s="287"/>
      <c r="I3497" s="211"/>
      <c r="J3497" s="211"/>
      <c r="K3497" s="288"/>
    </row>
    <row r="3498" spans="4:11" x14ac:dyDescent="0.2">
      <c r="D3498" s="308"/>
      <c r="E3498" s="291"/>
      <c r="F3498" s="291"/>
      <c r="G3498" s="291"/>
      <c r="H3498" s="287"/>
      <c r="I3498" s="211"/>
      <c r="J3498" s="211"/>
      <c r="K3498" s="288"/>
    </row>
    <row r="3499" spans="4:11" x14ac:dyDescent="0.2">
      <c r="D3499" s="308"/>
      <c r="E3499" s="291"/>
      <c r="F3499" s="291"/>
      <c r="G3499" s="291"/>
      <c r="H3499" s="287"/>
      <c r="I3499" s="211"/>
      <c r="J3499" s="211"/>
      <c r="K3499" s="288"/>
    </row>
    <row r="3500" spans="4:11" x14ac:dyDescent="0.2">
      <c r="D3500" s="308"/>
      <c r="E3500" s="291"/>
      <c r="F3500" s="291"/>
      <c r="G3500" s="291"/>
      <c r="H3500" s="287"/>
      <c r="I3500" s="211"/>
      <c r="J3500" s="211"/>
      <c r="K3500" s="288"/>
    </row>
    <row r="3501" spans="4:11" x14ac:dyDescent="0.2">
      <c r="D3501" s="308"/>
      <c r="E3501" s="291"/>
      <c r="F3501" s="291"/>
      <c r="G3501" s="291"/>
      <c r="H3501" s="287"/>
      <c r="I3501" s="211"/>
      <c r="J3501" s="211"/>
      <c r="K3501" s="288"/>
    </row>
    <row r="3502" spans="4:11" x14ac:dyDescent="0.2">
      <c r="D3502" s="308"/>
      <c r="E3502" s="291"/>
      <c r="F3502" s="291"/>
      <c r="G3502" s="291"/>
      <c r="H3502" s="287"/>
      <c r="I3502" s="211"/>
      <c r="J3502" s="211"/>
      <c r="K3502" s="288"/>
    </row>
    <row r="3503" spans="4:11" x14ac:dyDescent="0.2">
      <c r="D3503" s="308"/>
      <c r="E3503" s="291"/>
      <c r="F3503" s="291"/>
      <c r="G3503" s="291"/>
      <c r="H3503" s="287"/>
      <c r="I3503" s="211"/>
      <c r="J3503" s="211"/>
      <c r="K3503" s="288"/>
    </row>
    <row r="3504" spans="4:11" x14ac:dyDescent="0.2">
      <c r="D3504" s="308"/>
      <c r="E3504" s="291"/>
      <c r="F3504" s="291"/>
      <c r="G3504" s="291"/>
      <c r="H3504" s="287"/>
      <c r="I3504" s="211"/>
      <c r="J3504" s="211"/>
      <c r="K3504" s="288"/>
    </row>
    <row r="3505" spans="4:11" x14ac:dyDescent="0.2">
      <c r="D3505" s="308"/>
      <c r="E3505" s="291"/>
      <c r="F3505" s="291"/>
      <c r="G3505" s="291"/>
      <c r="H3505" s="287"/>
      <c r="I3505" s="211"/>
      <c r="J3505" s="211"/>
      <c r="K3505" s="288"/>
    </row>
    <row r="3506" spans="4:11" x14ac:dyDescent="0.2">
      <c r="D3506" s="308"/>
      <c r="E3506" s="291"/>
      <c r="F3506" s="291"/>
      <c r="G3506" s="291"/>
      <c r="H3506" s="287"/>
      <c r="I3506" s="211"/>
      <c r="J3506" s="211"/>
      <c r="K3506" s="288"/>
    </row>
    <row r="3507" spans="4:11" x14ac:dyDescent="0.2">
      <c r="D3507" s="308"/>
      <c r="E3507" s="291"/>
      <c r="F3507" s="291"/>
      <c r="G3507" s="291"/>
      <c r="H3507" s="287"/>
      <c r="I3507" s="211"/>
      <c r="J3507" s="211"/>
      <c r="K3507" s="288"/>
    </row>
    <row r="3508" spans="4:11" x14ac:dyDescent="0.2">
      <c r="D3508" s="308"/>
      <c r="E3508" s="291"/>
      <c r="F3508" s="291"/>
      <c r="G3508" s="291"/>
      <c r="H3508" s="287"/>
      <c r="I3508" s="211"/>
      <c r="J3508" s="211"/>
      <c r="K3508" s="288"/>
    </row>
    <row r="3509" spans="4:11" x14ac:dyDescent="0.2">
      <c r="D3509" s="308"/>
      <c r="E3509" s="291"/>
      <c r="F3509" s="291"/>
      <c r="G3509" s="291"/>
      <c r="H3509" s="287"/>
      <c r="I3509" s="211"/>
      <c r="J3509" s="211"/>
      <c r="K3509" s="288"/>
    </row>
    <row r="3510" spans="4:11" x14ac:dyDescent="0.2">
      <c r="D3510" s="308"/>
      <c r="E3510" s="291"/>
      <c r="F3510" s="291"/>
      <c r="G3510" s="291"/>
      <c r="H3510" s="287"/>
      <c r="I3510" s="211"/>
      <c r="J3510" s="211"/>
      <c r="K3510" s="288"/>
    </row>
    <row r="3511" spans="4:11" x14ac:dyDescent="0.2">
      <c r="D3511" s="308"/>
      <c r="E3511" s="291"/>
      <c r="F3511" s="291"/>
      <c r="G3511" s="291"/>
      <c r="H3511" s="287"/>
      <c r="I3511" s="211"/>
      <c r="J3511" s="211"/>
      <c r="K3511" s="288"/>
    </row>
    <row r="3512" spans="4:11" x14ac:dyDescent="0.2">
      <c r="D3512" s="308"/>
      <c r="E3512" s="291"/>
      <c r="F3512" s="291"/>
      <c r="G3512" s="291"/>
      <c r="H3512" s="287"/>
      <c r="I3512" s="211"/>
      <c r="J3512" s="211"/>
      <c r="K3512" s="288"/>
    </row>
    <row r="3513" spans="4:11" x14ac:dyDescent="0.2">
      <c r="D3513" s="308"/>
      <c r="E3513" s="291"/>
      <c r="F3513" s="291"/>
      <c r="G3513" s="291"/>
      <c r="H3513" s="287"/>
      <c r="I3513" s="211"/>
      <c r="J3513" s="211"/>
      <c r="K3513" s="288"/>
    </row>
    <row r="3514" spans="4:11" x14ac:dyDescent="0.2">
      <c r="D3514" s="308"/>
      <c r="E3514" s="291"/>
      <c r="F3514" s="291"/>
      <c r="G3514" s="291"/>
      <c r="H3514" s="287"/>
      <c r="I3514" s="211"/>
      <c r="J3514" s="211"/>
      <c r="K3514" s="288"/>
    </row>
    <row r="3515" spans="4:11" x14ac:dyDescent="0.2">
      <c r="D3515" s="308"/>
      <c r="E3515" s="291"/>
      <c r="F3515" s="291"/>
      <c r="G3515" s="291"/>
      <c r="H3515" s="287"/>
      <c r="I3515" s="211"/>
      <c r="J3515" s="211"/>
      <c r="K3515" s="288"/>
    </row>
    <row r="3516" spans="4:11" x14ac:dyDescent="0.2">
      <c r="D3516" s="308"/>
      <c r="E3516" s="291"/>
      <c r="F3516" s="291"/>
      <c r="G3516" s="291"/>
      <c r="H3516" s="287"/>
      <c r="I3516" s="211"/>
      <c r="J3516" s="211"/>
      <c r="K3516" s="288"/>
    </row>
    <row r="3517" spans="4:11" x14ac:dyDescent="0.2">
      <c r="D3517" s="308"/>
      <c r="E3517" s="291"/>
      <c r="F3517" s="291"/>
      <c r="G3517" s="291"/>
      <c r="H3517" s="287"/>
      <c r="I3517" s="211"/>
      <c r="J3517" s="211"/>
      <c r="K3517" s="288"/>
    </row>
    <row r="3518" spans="4:11" x14ac:dyDescent="0.2">
      <c r="D3518" s="308"/>
      <c r="E3518" s="291"/>
      <c r="F3518" s="291"/>
      <c r="G3518" s="291"/>
      <c r="H3518" s="287"/>
      <c r="I3518" s="211"/>
      <c r="J3518" s="211"/>
      <c r="K3518" s="288"/>
    </row>
    <row r="3519" spans="4:11" x14ac:dyDescent="0.2">
      <c r="D3519" s="308"/>
      <c r="E3519" s="291"/>
      <c r="F3519" s="291"/>
      <c r="G3519" s="291"/>
      <c r="H3519" s="287"/>
      <c r="I3519" s="211"/>
      <c r="J3519" s="211"/>
      <c r="K3519" s="288"/>
    </row>
    <row r="3520" spans="4:11" x14ac:dyDescent="0.2">
      <c r="D3520" s="308"/>
      <c r="E3520" s="291"/>
      <c r="F3520" s="291"/>
      <c r="G3520" s="291"/>
      <c r="H3520" s="287"/>
      <c r="I3520" s="211"/>
      <c r="J3520" s="211"/>
      <c r="K3520" s="288"/>
    </row>
    <row r="3521" spans="4:11" x14ac:dyDescent="0.2">
      <c r="D3521" s="308"/>
      <c r="E3521" s="291"/>
      <c r="F3521" s="291"/>
      <c r="G3521" s="291"/>
      <c r="H3521" s="287"/>
      <c r="I3521" s="211"/>
      <c r="J3521" s="211"/>
      <c r="K3521" s="288"/>
    </row>
    <row r="3522" spans="4:11" x14ac:dyDescent="0.2">
      <c r="D3522" s="308"/>
      <c r="E3522" s="291"/>
      <c r="F3522" s="291"/>
      <c r="G3522" s="291"/>
      <c r="H3522" s="287"/>
      <c r="I3522" s="211"/>
      <c r="J3522" s="211"/>
      <c r="K3522" s="288"/>
    </row>
    <row r="3523" spans="4:11" x14ac:dyDescent="0.2">
      <c r="D3523" s="308"/>
      <c r="E3523" s="291"/>
      <c r="F3523" s="291"/>
      <c r="G3523" s="291"/>
      <c r="H3523" s="287"/>
      <c r="I3523" s="211"/>
      <c r="J3523" s="211"/>
      <c r="K3523" s="288"/>
    </row>
    <row r="3524" spans="4:11" x14ac:dyDescent="0.2">
      <c r="D3524" s="308"/>
      <c r="E3524" s="291"/>
      <c r="F3524" s="291"/>
      <c r="G3524" s="291"/>
      <c r="H3524" s="287"/>
      <c r="I3524" s="211"/>
      <c r="J3524" s="211"/>
      <c r="K3524" s="288"/>
    </row>
    <row r="3525" spans="4:11" x14ac:dyDescent="0.2">
      <c r="D3525" s="308"/>
      <c r="E3525" s="291"/>
      <c r="F3525" s="291"/>
      <c r="G3525" s="291"/>
      <c r="H3525" s="287"/>
      <c r="I3525" s="211"/>
      <c r="J3525" s="211"/>
      <c r="K3525" s="288"/>
    </row>
    <row r="3526" spans="4:11" x14ac:dyDescent="0.2">
      <c r="D3526" s="308"/>
      <c r="E3526" s="291"/>
      <c r="F3526" s="291"/>
      <c r="G3526" s="291"/>
      <c r="H3526" s="287"/>
      <c r="I3526" s="211"/>
      <c r="J3526" s="211"/>
      <c r="K3526" s="288"/>
    </row>
    <row r="3527" spans="4:11" x14ac:dyDescent="0.2">
      <c r="D3527" s="308"/>
      <c r="E3527" s="291"/>
      <c r="F3527" s="291"/>
      <c r="G3527" s="291"/>
      <c r="H3527" s="287"/>
      <c r="I3527" s="211"/>
      <c r="J3527" s="211"/>
      <c r="K3527" s="288"/>
    </row>
    <row r="3528" spans="4:11" x14ac:dyDescent="0.2">
      <c r="D3528" s="308"/>
      <c r="E3528" s="291"/>
      <c r="F3528" s="291"/>
      <c r="G3528" s="291"/>
      <c r="H3528" s="287"/>
      <c r="I3528" s="211"/>
      <c r="J3528" s="211"/>
      <c r="K3528" s="288"/>
    </row>
    <row r="3529" spans="4:11" x14ac:dyDescent="0.2">
      <c r="D3529" s="308"/>
      <c r="E3529" s="291"/>
      <c r="F3529" s="291"/>
      <c r="G3529" s="291"/>
      <c r="H3529" s="287"/>
      <c r="I3529" s="211"/>
      <c r="J3529" s="211"/>
      <c r="K3529" s="288"/>
    </row>
    <row r="3530" spans="4:11" x14ac:dyDescent="0.2">
      <c r="D3530" s="308"/>
      <c r="E3530" s="291"/>
      <c r="F3530" s="291"/>
      <c r="G3530" s="291"/>
      <c r="H3530" s="287"/>
      <c r="I3530" s="211"/>
      <c r="J3530" s="211"/>
      <c r="K3530" s="288"/>
    </row>
    <row r="3531" spans="4:11" x14ac:dyDescent="0.2">
      <c r="D3531" s="308"/>
      <c r="E3531" s="291"/>
      <c r="F3531" s="291"/>
      <c r="G3531" s="291"/>
      <c r="H3531" s="287"/>
      <c r="I3531" s="211"/>
      <c r="J3531" s="211"/>
      <c r="K3531" s="288"/>
    </row>
    <row r="3532" spans="4:11" x14ac:dyDescent="0.2">
      <c r="D3532" s="308"/>
      <c r="E3532" s="291"/>
      <c r="F3532" s="291"/>
      <c r="G3532" s="291"/>
      <c r="H3532" s="287"/>
      <c r="I3532" s="211"/>
      <c r="J3532" s="211"/>
      <c r="K3532" s="288"/>
    </row>
    <row r="3533" spans="4:11" x14ac:dyDescent="0.2">
      <c r="D3533" s="308"/>
      <c r="E3533" s="291"/>
      <c r="F3533" s="291"/>
      <c r="G3533" s="291"/>
      <c r="H3533" s="287"/>
      <c r="I3533" s="211"/>
      <c r="J3533" s="211"/>
      <c r="K3533" s="288"/>
    </row>
    <row r="3534" spans="4:11" x14ac:dyDescent="0.2">
      <c r="D3534" s="308"/>
      <c r="E3534" s="291"/>
      <c r="F3534" s="291"/>
      <c r="G3534" s="291"/>
      <c r="H3534" s="287"/>
      <c r="I3534" s="211"/>
      <c r="J3534" s="211"/>
      <c r="K3534" s="288"/>
    </row>
    <row r="3535" spans="4:11" x14ac:dyDescent="0.2">
      <c r="D3535" s="308"/>
      <c r="E3535" s="291"/>
      <c r="F3535" s="291"/>
      <c r="G3535" s="291"/>
      <c r="H3535" s="287"/>
      <c r="I3535" s="211"/>
      <c r="J3535" s="211"/>
      <c r="K3535" s="288"/>
    </row>
    <row r="3536" spans="4:11" x14ac:dyDescent="0.2">
      <c r="D3536" s="308"/>
      <c r="E3536" s="291"/>
      <c r="F3536" s="291"/>
      <c r="G3536" s="291"/>
      <c r="H3536" s="287"/>
      <c r="I3536" s="211"/>
      <c r="J3536" s="211"/>
      <c r="K3536" s="288"/>
    </row>
    <row r="3537" spans="4:11" x14ac:dyDescent="0.2">
      <c r="D3537" s="308"/>
      <c r="E3537" s="291"/>
      <c r="F3537" s="291"/>
      <c r="G3537" s="291"/>
      <c r="H3537" s="287"/>
      <c r="I3537" s="211"/>
      <c r="J3537" s="211"/>
      <c r="K3537" s="288"/>
    </row>
    <row r="3538" spans="4:11" x14ac:dyDescent="0.2">
      <c r="D3538" s="308"/>
      <c r="E3538" s="291"/>
      <c r="F3538" s="291"/>
      <c r="G3538" s="291"/>
      <c r="H3538" s="287"/>
      <c r="I3538" s="211"/>
      <c r="J3538" s="211"/>
      <c r="K3538" s="288"/>
    </row>
    <row r="3539" spans="4:11" x14ac:dyDescent="0.2">
      <c r="D3539" s="308"/>
      <c r="E3539" s="291"/>
      <c r="F3539" s="291"/>
      <c r="G3539" s="291"/>
      <c r="H3539" s="287"/>
      <c r="I3539" s="211"/>
      <c r="J3539" s="211"/>
      <c r="K3539" s="288"/>
    </row>
    <row r="3540" spans="4:11" x14ac:dyDescent="0.2">
      <c r="D3540" s="308"/>
      <c r="E3540" s="291"/>
      <c r="F3540" s="291"/>
      <c r="G3540" s="291"/>
      <c r="H3540" s="287"/>
      <c r="I3540" s="211"/>
      <c r="J3540" s="211"/>
      <c r="K3540" s="288"/>
    </row>
    <row r="3541" spans="4:11" x14ac:dyDescent="0.2">
      <c r="D3541" s="308"/>
      <c r="E3541" s="291"/>
      <c r="F3541" s="291"/>
      <c r="G3541" s="291"/>
      <c r="H3541" s="287"/>
      <c r="I3541" s="211"/>
      <c r="J3541" s="211"/>
      <c r="K3541" s="288"/>
    </row>
    <row r="3542" spans="4:11" x14ac:dyDescent="0.2">
      <c r="D3542" s="308"/>
      <c r="E3542" s="291"/>
      <c r="F3542" s="291"/>
      <c r="G3542" s="291"/>
      <c r="H3542" s="287"/>
      <c r="I3542" s="211"/>
      <c r="J3542" s="211"/>
      <c r="K3542" s="288"/>
    </row>
    <row r="3543" spans="4:11" x14ac:dyDescent="0.2">
      <c r="D3543" s="308"/>
      <c r="E3543" s="291"/>
      <c r="F3543" s="291"/>
      <c r="G3543" s="291"/>
      <c r="H3543" s="287"/>
      <c r="I3543" s="211"/>
      <c r="J3543" s="211"/>
      <c r="K3543" s="288"/>
    </row>
    <row r="3544" spans="4:11" x14ac:dyDescent="0.2">
      <c r="D3544" s="308"/>
      <c r="E3544" s="291"/>
      <c r="F3544" s="291"/>
      <c r="G3544" s="291"/>
      <c r="H3544" s="287"/>
      <c r="I3544" s="211"/>
      <c r="J3544" s="211"/>
      <c r="K3544" s="288"/>
    </row>
    <row r="3545" spans="4:11" x14ac:dyDescent="0.2">
      <c r="D3545" s="308"/>
      <c r="E3545" s="291"/>
      <c r="F3545" s="291"/>
      <c r="G3545" s="291"/>
      <c r="H3545" s="287"/>
      <c r="I3545" s="211"/>
      <c r="J3545" s="211"/>
      <c r="K3545" s="288"/>
    </row>
    <row r="3546" spans="4:11" x14ac:dyDescent="0.2">
      <c r="D3546" s="308"/>
      <c r="E3546" s="291"/>
      <c r="F3546" s="291"/>
      <c r="G3546" s="291"/>
      <c r="H3546" s="287"/>
      <c r="I3546" s="211"/>
      <c r="J3546" s="211"/>
      <c r="K3546" s="288"/>
    </row>
    <row r="3547" spans="4:11" x14ac:dyDescent="0.2">
      <c r="D3547" s="308"/>
      <c r="E3547" s="291"/>
      <c r="F3547" s="291"/>
      <c r="G3547" s="291"/>
      <c r="H3547" s="287"/>
      <c r="I3547" s="211"/>
      <c r="J3547" s="211"/>
      <c r="K3547" s="288"/>
    </row>
    <row r="3548" spans="4:11" x14ac:dyDescent="0.2">
      <c r="D3548" s="308"/>
      <c r="E3548" s="291"/>
      <c r="F3548" s="291"/>
      <c r="G3548" s="291"/>
      <c r="H3548" s="287"/>
      <c r="I3548" s="211"/>
      <c r="J3548" s="211"/>
      <c r="K3548" s="288"/>
    </row>
    <row r="3549" spans="4:11" x14ac:dyDescent="0.2">
      <c r="D3549" s="308"/>
      <c r="E3549" s="291"/>
      <c r="F3549" s="291"/>
      <c r="G3549" s="291"/>
      <c r="H3549" s="287"/>
      <c r="I3549" s="211"/>
      <c r="J3549" s="211"/>
      <c r="K3549" s="288"/>
    </row>
    <row r="3550" spans="4:11" x14ac:dyDescent="0.2">
      <c r="D3550" s="308"/>
      <c r="E3550" s="291"/>
      <c r="F3550" s="291"/>
      <c r="G3550" s="291"/>
      <c r="H3550" s="287"/>
      <c r="I3550" s="211"/>
      <c r="J3550" s="211"/>
      <c r="K3550" s="288"/>
    </row>
    <row r="3551" spans="4:11" x14ac:dyDescent="0.2">
      <c r="D3551" s="308"/>
      <c r="E3551" s="291"/>
      <c r="F3551" s="291"/>
      <c r="G3551" s="291"/>
      <c r="H3551" s="287"/>
      <c r="I3551" s="211"/>
      <c r="J3551" s="211"/>
      <c r="K3551" s="288"/>
    </row>
    <row r="3552" spans="4:11" x14ac:dyDescent="0.2">
      <c r="D3552" s="308"/>
      <c r="E3552" s="291"/>
      <c r="F3552" s="291"/>
      <c r="G3552" s="291"/>
      <c r="H3552" s="287"/>
      <c r="I3552" s="211"/>
      <c r="J3552" s="211"/>
      <c r="K3552" s="288"/>
    </row>
    <row r="3553" spans="4:11" x14ac:dyDescent="0.2">
      <c r="D3553" s="308"/>
      <c r="E3553" s="291"/>
      <c r="F3553" s="291"/>
      <c r="G3553" s="291"/>
      <c r="H3553" s="287"/>
      <c r="I3553" s="211"/>
      <c r="J3553" s="211"/>
      <c r="K3553" s="288"/>
    </row>
    <row r="3554" spans="4:11" x14ac:dyDescent="0.2">
      <c r="D3554" s="308"/>
      <c r="E3554" s="291"/>
      <c r="F3554" s="291"/>
      <c r="G3554" s="291"/>
      <c r="H3554" s="287"/>
      <c r="I3554" s="211"/>
      <c r="J3554" s="211"/>
      <c r="K3554" s="288"/>
    </row>
    <row r="3555" spans="4:11" x14ac:dyDescent="0.2">
      <c r="D3555" s="308"/>
      <c r="E3555" s="291"/>
      <c r="F3555" s="291"/>
      <c r="G3555" s="291"/>
      <c r="H3555" s="287"/>
      <c r="I3555" s="211"/>
      <c r="J3555" s="211"/>
      <c r="K3555" s="288"/>
    </row>
    <row r="3556" spans="4:11" x14ac:dyDescent="0.2">
      <c r="D3556" s="308"/>
      <c r="E3556" s="291"/>
      <c r="F3556" s="291"/>
      <c r="G3556" s="291"/>
      <c r="H3556" s="287"/>
      <c r="I3556" s="211"/>
      <c r="J3556" s="211"/>
      <c r="K3556" s="288"/>
    </row>
    <row r="3557" spans="4:11" x14ac:dyDescent="0.2">
      <c r="D3557" s="308"/>
      <c r="E3557" s="291"/>
      <c r="F3557" s="291"/>
      <c r="G3557" s="291"/>
      <c r="H3557" s="287"/>
      <c r="I3557" s="211"/>
      <c r="J3557" s="211"/>
      <c r="K3557" s="288"/>
    </row>
    <row r="3558" spans="4:11" x14ac:dyDescent="0.2">
      <c r="D3558" s="308"/>
      <c r="E3558" s="291"/>
      <c r="F3558" s="291"/>
      <c r="G3558" s="291"/>
      <c r="H3558" s="287"/>
      <c r="I3558" s="211"/>
      <c r="J3558" s="211"/>
      <c r="K3558" s="288"/>
    </row>
    <row r="3559" spans="4:11" x14ac:dyDescent="0.2">
      <c r="D3559" s="308"/>
      <c r="E3559" s="291"/>
      <c r="F3559" s="291"/>
      <c r="G3559" s="291"/>
      <c r="H3559" s="287"/>
      <c r="I3559" s="211"/>
      <c r="J3559" s="211"/>
      <c r="K3559" s="288"/>
    </row>
    <row r="3560" spans="4:11" x14ac:dyDescent="0.2">
      <c r="D3560" s="308"/>
      <c r="E3560" s="291"/>
      <c r="F3560" s="291"/>
      <c r="G3560" s="291"/>
      <c r="H3560" s="287"/>
      <c r="I3560" s="211"/>
      <c r="J3560" s="211"/>
      <c r="K3560" s="288"/>
    </row>
    <row r="3561" spans="4:11" x14ac:dyDescent="0.2">
      <c r="D3561" s="308"/>
      <c r="E3561" s="291"/>
      <c r="F3561" s="291"/>
      <c r="G3561" s="291"/>
      <c r="H3561" s="287"/>
      <c r="I3561" s="211"/>
      <c r="J3561" s="211"/>
      <c r="K3561" s="288"/>
    </row>
    <row r="3562" spans="4:11" x14ac:dyDescent="0.2">
      <c r="D3562" s="308"/>
      <c r="E3562" s="291"/>
      <c r="F3562" s="291"/>
      <c r="G3562" s="291"/>
      <c r="H3562" s="287"/>
      <c r="I3562" s="211"/>
      <c r="J3562" s="211"/>
      <c r="K3562" s="288"/>
    </row>
    <row r="3563" spans="4:11" x14ac:dyDescent="0.2">
      <c r="D3563" s="308"/>
      <c r="E3563" s="291"/>
      <c r="F3563" s="291"/>
      <c r="G3563" s="291"/>
      <c r="H3563" s="287"/>
      <c r="I3563" s="211"/>
      <c r="J3563" s="211"/>
      <c r="K3563" s="288"/>
    </row>
    <row r="3564" spans="4:11" x14ac:dyDescent="0.2">
      <c r="D3564" s="308"/>
      <c r="E3564" s="291"/>
      <c r="F3564" s="291"/>
      <c r="G3564" s="291"/>
      <c r="H3564" s="287"/>
      <c r="I3564" s="211"/>
      <c r="J3564" s="211"/>
      <c r="K3564" s="288"/>
    </row>
    <row r="3565" spans="4:11" x14ac:dyDescent="0.2">
      <c r="D3565" s="308"/>
      <c r="E3565" s="291"/>
      <c r="F3565" s="291"/>
      <c r="G3565" s="291"/>
      <c r="H3565" s="287"/>
      <c r="I3565" s="211"/>
      <c r="J3565" s="211"/>
      <c r="K3565" s="288"/>
    </row>
    <row r="3566" spans="4:11" x14ac:dyDescent="0.2">
      <c r="D3566" s="308"/>
      <c r="E3566" s="291"/>
      <c r="F3566" s="291"/>
      <c r="G3566" s="291"/>
      <c r="H3566" s="287"/>
      <c r="I3566" s="211"/>
      <c r="J3566" s="211"/>
      <c r="K3566" s="288"/>
    </row>
    <row r="3567" spans="4:11" x14ac:dyDescent="0.2">
      <c r="D3567" s="308"/>
      <c r="E3567" s="291"/>
      <c r="F3567" s="291"/>
      <c r="G3567" s="291"/>
      <c r="H3567" s="287"/>
      <c r="I3567" s="211"/>
      <c r="J3567" s="211"/>
      <c r="K3567" s="288"/>
    </row>
    <row r="3568" spans="4:11" x14ac:dyDescent="0.2">
      <c r="D3568" s="308"/>
      <c r="E3568" s="291"/>
      <c r="F3568" s="291"/>
      <c r="G3568" s="291"/>
      <c r="H3568" s="287"/>
      <c r="I3568" s="211"/>
      <c r="J3568" s="211"/>
      <c r="K3568" s="288"/>
    </row>
    <row r="3569" spans="4:11" x14ac:dyDescent="0.2">
      <c r="D3569" s="308"/>
      <c r="E3569" s="291"/>
      <c r="F3569" s="291"/>
      <c r="G3569" s="291"/>
      <c r="H3569" s="287"/>
      <c r="I3569" s="211"/>
      <c r="J3569" s="211"/>
      <c r="K3569" s="288"/>
    </row>
    <row r="3570" spans="4:11" x14ac:dyDescent="0.2">
      <c r="D3570" s="308"/>
      <c r="E3570" s="291"/>
      <c r="F3570" s="291"/>
      <c r="G3570" s="291"/>
      <c r="H3570" s="287"/>
      <c r="I3570" s="211"/>
      <c r="J3570" s="211"/>
      <c r="K3570" s="288"/>
    </row>
    <row r="3571" spans="4:11" x14ac:dyDescent="0.2">
      <c r="D3571" s="308"/>
      <c r="E3571" s="291"/>
      <c r="F3571" s="291"/>
      <c r="G3571" s="291"/>
      <c r="H3571" s="287"/>
      <c r="I3571" s="211"/>
      <c r="J3571" s="211"/>
      <c r="K3571" s="288"/>
    </row>
    <row r="3572" spans="4:11" x14ac:dyDescent="0.2">
      <c r="D3572" s="308"/>
      <c r="E3572" s="291"/>
      <c r="F3572" s="291"/>
      <c r="G3572" s="291"/>
      <c r="H3572" s="287"/>
      <c r="I3572" s="211"/>
      <c r="J3572" s="211"/>
      <c r="K3572" s="288"/>
    </row>
    <row r="3573" spans="4:11" x14ac:dyDescent="0.2">
      <c r="D3573" s="308"/>
      <c r="E3573" s="291"/>
      <c r="F3573" s="291"/>
      <c r="G3573" s="291"/>
      <c r="H3573" s="287"/>
      <c r="I3573" s="211"/>
      <c r="J3573" s="211"/>
      <c r="K3573" s="288"/>
    </row>
    <row r="3574" spans="4:11" x14ac:dyDescent="0.2">
      <c r="D3574" s="308"/>
      <c r="E3574" s="291"/>
      <c r="F3574" s="291"/>
      <c r="G3574" s="291"/>
      <c r="H3574" s="287"/>
      <c r="I3574" s="211"/>
      <c r="J3574" s="211"/>
      <c r="K3574" s="288"/>
    </row>
    <row r="3575" spans="4:11" x14ac:dyDescent="0.2">
      <c r="D3575" s="308"/>
      <c r="E3575" s="291"/>
      <c r="F3575" s="291"/>
      <c r="G3575" s="291"/>
      <c r="H3575" s="287"/>
      <c r="I3575" s="211"/>
      <c r="J3575" s="211"/>
      <c r="K3575" s="288"/>
    </row>
    <row r="3576" spans="4:11" x14ac:dyDescent="0.2">
      <c r="D3576" s="308"/>
      <c r="E3576" s="291"/>
      <c r="F3576" s="291"/>
      <c r="G3576" s="291"/>
      <c r="H3576" s="287"/>
      <c r="I3576" s="211"/>
      <c r="J3576" s="211"/>
      <c r="K3576" s="288"/>
    </row>
    <row r="3577" spans="4:11" x14ac:dyDescent="0.2">
      <c r="D3577" s="308"/>
      <c r="E3577" s="291"/>
      <c r="F3577" s="291"/>
      <c r="G3577" s="291"/>
      <c r="H3577" s="287"/>
      <c r="I3577" s="211"/>
      <c r="J3577" s="211"/>
      <c r="K3577" s="288"/>
    </row>
    <row r="3578" spans="4:11" x14ac:dyDescent="0.2">
      <c r="D3578" s="308"/>
      <c r="E3578" s="291"/>
      <c r="F3578" s="291"/>
      <c r="G3578" s="291"/>
      <c r="H3578" s="287"/>
      <c r="I3578" s="211"/>
      <c r="J3578" s="211"/>
      <c r="K3578" s="288"/>
    </row>
    <row r="3579" spans="4:11" x14ac:dyDescent="0.2">
      <c r="D3579" s="308"/>
      <c r="E3579" s="291"/>
      <c r="F3579" s="291"/>
      <c r="G3579" s="291"/>
      <c r="H3579" s="287"/>
      <c r="I3579" s="211"/>
      <c r="J3579" s="211"/>
      <c r="K3579" s="288"/>
    </row>
    <row r="3580" spans="4:11" x14ac:dyDescent="0.2">
      <c r="D3580" s="308"/>
      <c r="E3580" s="291"/>
      <c r="F3580" s="291"/>
      <c r="G3580" s="291"/>
      <c r="H3580" s="287"/>
      <c r="I3580" s="211"/>
      <c r="J3580" s="211"/>
      <c r="K3580" s="288"/>
    </row>
    <row r="3581" spans="4:11" x14ac:dyDescent="0.2">
      <c r="D3581" s="308"/>
      <c r="E3581" s="291"/>
      <c r="F3581" s="291"/>
      <c r="G3581" s="291"/>
      <c r="H3581" s="287"/>
      <c r="I3581" s="211"/>
      <c r="J3581" s="211"/>
      <c r="K3581" s="288"/>
    </row>
    <row r="3582" spans="4:11" x14ac:dyDescent="0.2">
      <c r="D3582" s="308"/>
      <c r="E3582" s="291"/>
      <c r="F3582" s="291"/>
      <c r="G3582" s="291"/>
      <c r="H3582" s="287"/>
      <c r="I3582" s="211"/>
      <c r="J3582" s="211"/>
      <c r="K3582" s="288"/>
    </row>
    <row r="3583" spans="4:11" x14ac:dyDescent="0.2">
      <c r="D3583" s="308"/>
      <c r="E3583" s="291"/>
      <c r="F3583" s="291"/>
      <c r="G3583" s="291"/>
      <c r="H3583" s="287"/>
      <c r="I3583" s="211"/>
      <c r="J3583" s="211"/>
      <c r="K3583" s="288"/>
    </row>
    <row r="3584" spans="4:11" x14ac:dyDescent="0.2">
      <c r="D3584" s="308"/>
      <c r="E3584" s="291"/>
      <c r="F3584" s="291"/>
      <c r="G3584" s="291"/>
      <c r="H3584" s="287"/>
      <c r="I3584" s="211"/>
      <c r="J3584" s="211"/>
      <c r="K3584" s="288"/>
    </row>
    <row r="3585" spans="4:11" x14ac:dyDescent="0.2">
      <c r="D3585" s="308"/>
      <c r="E3585" s="291"/>
      <c r="F3585" s="291"/>
      <c r="G3585" s="291"/>
      <c r="H3585" s="287"/>
      <c r="I3585" s="211"/>
      <c r="J3585" s="211"/>
      <c r="K3585" s="288"/>
    </row>
    <row r="3586" spans="4:11" x14ac:dyDescent="0.2">
      <c r="D3586" s="308"/>
      <c r="E3586" s="291"/>
      <c r="F3586" s="291"/>
      <c r="G3586" s="291"/>
      <c r="H3586" s="287"/>
      <c r="I3586" s="211"/>
      <c r="J3586" s="211"/>
      <c r="K3586" s="288"/>
    </row>
    <row r="3587" spans="4:11" x14ac:dyDescent="0.2">
      <c r="D3587" s="308"/>
      <c r="E3587" s="291"/>
      <c r="F3587" s="291"/>
      <c r="G3587" s="291"/>
      <c r="H3587" s="287"/>
      <c r="I3587" s="211"/>
      <c r="J3587" s="211"/>
      <c r="K3587" s="288"/>
    </row>
    <row r="3588" spans="4:11" x14ac:dyDescent="0.2">
      <c r="D3588" s="308"/>
      <c r="E3588" s="291"/>
      <c r="F3588" s="291"/>
      <c r="G3588" s="291"/>
      <c r="H3588" s="287"/>
      <c r="I3588" s="211"/>
      <c r="J3588" s="211"/>
      <c r="K3588" s="288"/>
    </row>
    <row r="3589" spans="4:11" x14ac:dyDescent="0.2">
      <c r="D3589" s="308"/>
      <c r="E3589" s="291"/>
      <c r="F3589" s="291"/>
      <c r="G3589" s="291"/>
      <c r="H3589" s="287"/>
      <c r="I3589" s="211"/>
      <c r="J3589" s="211"/>
      <c r="K3589" s="288"/>
    </row>
    <row r="3590" spans="4:11" x14ac:dyDescent="0.2">
      <c r="D3590" s="308"/>
      <c r="E3590" s="291"/>
      <c r="F3590" s="291"/>
      <c r="G3590" s="291"/>
      <c r="H3590" s="287"/>
      <c r="I3590" s="211"/>
      <c r="J3590" s="211"/>
      <c r="K3590" s="288"/>
    </row>
    <row r="3591" spans="4:11" x14ac:dyDescent="0.2">
      <c r="D3591" s="308"/>
      <c r="E3591" s="291"/>
      <c r="F3591" s="291"/>
      <c r="G3591" s="291"/>
      <c r="H3591" s="287"/>
      <c r="I3591" s="211"/>
      <c r="J3591" s="211"/>
      <c r="K3591" s="288"/>
    </row>
    <row r="3592" spans="4:11" x14ac:dyDescent="0.2">
      <c r="D3592" s="308"/>
      <c r="E3592" s="291"/>
      <c r="F3592" s="291"/>
      <c r="G3592" s="291"/>
      <c r="H3592" s="287"/>
      <c r="I3592" s="211"/>
      <c r="J3592" s="211"/>
      <c r="K3592" s="288"/>
    </row>
    <row r="3593" spans="4:11" x14ac:dyDescent="0.2">
      <c r="D3593" s="308"/>
      <c r="E3593" s="291"/>
      <c r="F3593" s="291"/>
      <c r="G3593" s="291"/>
      <c r="H3593" s="287"/>
      <c r="I3593" s="211"/>
      <c r="J3593" s="211"/>
      <c r="K3593" s="288"/>
    </row>
    <row r="3594" spans="4:11" x14ac:dyDescent="0.2">
      <c r="D3594" s="308"/>
      <c r="E3594" s="291"/>
      <c r="F3594" s="291"/>
      <c r="G3594" s="291"/>
      <c r="H3594" s="287"/>
      <c r="I3594" s="211"/>
      <c r="J3594" s="211"/>
      <c r="K3594" s="288"/>
    </row>
    <row r="3595" spans="4:11" x14ac:dyDescent="0.2">
      <c r="D3595" s="308"/>
      <c r="E3595" s="291"/>
      <c r="F3595" s="291"/>
      <c r="G3595" s="291"/>
      <c r="H3595" s="287"/>
      <c r="I3595" s="211"/>
      <c r="J3595" s="211"/>
      <c r="K3595" s="288"/>
    </row>
    <row r="3596" spans="4:11" x14ac:dyDescent="0.2">
      <c r="D3596" s="308"/>
      <c r="E3596" s="291"/>
      <c r="F3596" s="291"/>
      <c r="G3596" s="291"/>
      <c r="H3596" s="287"/>
      <c r="I3596" s="211"/>
      <c r="J3596" s="211"/>
      <c r="K3596" s="288"/>
    </row>
    <row r="3597" spans="4:11" x14ac:dyDescent="0.2">
      <c r="D3597" s="308"/>
      <c r="E3597" s="291"/>
      <c r="F3597" s="291"/>
      <c r="G3597" s="291"/>
      <c r="H3597" s="287"/>
      <c r="I3597" s="211"/>
      <c r="J3597" s="211"/>
      <c r="K3597" s="288"/>
    </row>
    <row r="3598" spans="4:11" x14ac:dyDescent="0.2">
      <c r="D3598" s="308"/>
      <c r="E3598" s="291"/>
      <c r="F3598" s="291"/>
      <c r="G3598" s="291"/>
      <c r="H3598" s="287"/>
      <c r="I3598" s="211"/>
      <c r="J3598" s="211"/>
      <c r="K3598" s="288"/>
    </row>
    <row r="3599" spans="4:11" x14ac:dyDescent="0.2">
      <c r="D3599" s="308"/>
      <c r="E3599" s="291"/>
      <c r="F3599" s="291"/>
      <c r="G3599" s="291"/>
      <c r="H3599" s="287"/>
      <c r="I3599" s="211"/>
      <c r="J3599" s="211"/>
      <c r="K3599" s="288"/>
    </row>
    <row r="3600" spans="4:11" x14ac:dyDescent="0.2">
      <c r="D3600" s="308"/>
      <c r="E3600" s="291"/>
      <c r="F3600" s="291"/>
      <c r="G3600" s="291"/>
      <c r="H3600" s="287"/>
      <c r="I3600" s="211"/>
      <c r="J3600" s="211"/>
      <c r="K3600" s="288"/>
    </row>
    <row r="3601" spans="4:11" x14ac:dyDescent="0.2">
      <c r="D3601" s="308"/>
      <c r="E3601" s="291"/>
      <c r="F3601" s="291"/>
      <c r="G3601" s="291"/>
      <c r="H3601" s="287"/>
      <c r="I3601" s="211"/>
      <c r="J3601" s="211"/>
      <c r="K3601" s="288"/>
    </row>
    <row r="3602" spans="4:11" x14ac:dyDescent="0.2">
      <c r="D3602" s="308"/>
      <c r="E3602" s="291"/>
      <c r="F3602" s="291"/>
      <c r="G3602" s="291"/>
      <c r="H3602" s="287"/>
      <c r="I3602" s="211"/>
      <c r="J3602" s="211"/>
      <c r="K3602" s="288"/>
    </row>
    <row r="3603" spans="4:11" x14ac:dyDescent="0.2">
      <c r="D3603" s="308"/>
      <c r="E3603" s="291"/>
      <c r="F3603" s="291"/>
      <c r="G3603" s="291"/>
      <c r="H3603" s="287"/>
      <c r="I3603" s="211"/>
      <c r="J3603" s="211"/>
      <c r="K3603" s="288"/>
    </row>
    <row r="3604" spans="4:11" x14ac:dyDescent="0.2">
      <c r="D3604" s="308"/>
      <c r="E3604" s="291"/>
      <c r="F3604" s="291"/>
      <c r="G3604" s="291"/>
      <c r="H3604" s="287"/>
      <c r="I3604" s="211"/>
      <c r="J3604" s="211"/>
      <c r="K3604" s="288"/>
    </row>
    <row r="3605" spans="4:11" x14ac:dyDescent="0.2">
      <c r="D3605" s="308"/>
      <c r="E3605" s="291"/>
      <c r="F3605" s="291"/>
      <c r="G3605" s="291"/>
      <c r="H3605" s="287"/>
      <c r="I3605" s="211"/>
      <c r="J3605" s="211"/>
      <c r="K3605" s="288"/>
    </row>
    <row r="3606" spans="4:11" x14ac:dyDescent="0.2">
      <c r="D3606" s="308"/>
      <c r="E3606" s="291"/>
      <c r="F3606" s="291"/>
      <c r="G3606" s="291"/>
      <c r="H3606" s="287"/>
      <c r="I3606" s="211"/>
      <c r="J3606" s="211"/>
      <c r="K3606" s="288"/>
    </row>
    <row r="3607" spans="4:11" x14ac:dyDescent="0.2">
      <c r="D3607" s="308"/>
      <c r="E3607" s="291"/>
      <c r="F3607" s="291"/>
      <c r="G3607" s="291"/>
      <c r="H3607" s="287"/>
      <c r="I3607" s="211"/>
      <c r="J3607" s="211"/>
      <c r="K3607" s="288"/>
    </row>
    <row r="3608" spans="4:11" x14ac:dyDescent="0.2">
      <c r="D3608" s="308"/>
      <c r="E3608" s="291"/>
      <c r="F3608" s="291"/>
      <c r="G3608" s="291"/>
      <c r="H3608" s="287"/>
      <c r="I3608" s="211"/>
      <c r="J3608" s="211"/>
      <c r="K3608" s="288"/>
    </row>
    <row r="3609" spans="4:11" x14ac:dyDescent="0.2">
      <c r="D3609" s="308"/>
      <c r="E3609" s="291"/>
      <c r="F3609" s="291"/>
      <c r="G3609" s="291"/>
      <c r="H3609" s="287"/>
      <c r="I3609" s="211"/>
      <c r="J3609" s="211"/>
      <c r="K3609" s="288"/>
    </row>
    <row r="3610" spans="4:11" x14ac:dyDescent="0.2">
      <c r="D3610" s="308"/>
      <c r="E3610" s="291"/>
      <c r="F3610" s="291"/>
      <c r="G3610" s="291"/>
      <c r="H3610" s="287"/>
      <c r="I3610" s="211"/>
      <c r="J3610" s="211"/>
      <c r="K3610" s="288"/>
    </row>
    <row r="3611" spans="4:11" x14ac:dyDescent="0.2">
      <c r="D3611" s="308"/>
      <c r="E3611" s="291"/>
      <c r="F3611" s="291"/>
      <c r="G3611" s="291"/>
      <c r="H3611" s="287"/>
      <c r="I3611" s="211"/>
      <c r="J3611" s="211"/>
      <c r="K3611" s="288"/>
    </row>
    <row r="3612" spans="4:11" x14ac:dyDescent="0.2">
      <c r="D3612" s="308"/>
      <c r="E3612" s="291"/>
      <c r="F3612" s="291"/>
      <c r="G3612" s="291"/>
      <c r="H3612" s="287"/>
      <c r="I3612" s="211"/>
      <c r="J3612" s="211"/>
      <c r="K3612" s="288"/>
    </row>
    <row r="3613" spans="4:11" x14ac:dyDescent="0.2">
      <c r="D3613" s="308"/>
      <c r="E3613" s="291"/>
      <c r="F3613" s="291"/>
      <c r="G3613" s="291"/>
      <c r="H3613" s="287"/>
      <c r="I3613" s="211"/>
      <c r="J3613" s="211"/>
      <c r="K3613" s="288"/>
    </row>
    <row r="3614" spans="4:11" x14ac:dyDescent="0.2">
      <c r="D3614" s="308"/>
      <c r="E3614" s="291"/>
      <c r="F3614" s="291"/>
      <c r="G3614" s="291"/>
      <c r="H3614" s="287"/>
      <c r="I3614" s="211"/>
      <c r="J3614" s="211"/>
      <c r="K3614" s="288"/>
    </row>
    <row r="3615" spans="4:11" x14ac:dyDescent="0.2">
      <c r="D3615" s="308"/>
      <c r="E3615" s="291"/>
      <c r="F3615" s="291"/>
      <c r="G3615" s="291"/>
      <c r="H3615" s="287"/>
      <c r="I3615" s="211"/>
      <c r="J3615" s="211"/>
      <c r="K3615" s="288"/>
    </row>
    <row r="3616" spans="4:11" x14ac:dyDescent="0.2">
      <c r="D3616" s="308"/>
      <c r="E3616" s="291"/>
      <c r="F3616" s="291"/>
      <c r="G3616" s="291"/>
      <c r="H3616" s="287"/>
      <c r="I3616" s="211"/>
      <c r="J3616" s="211"/>
      <c r="K3616" s="288"/>
    </row>
    <row r="3617" spans="4:11" x14ac:dyDescent="0.2">
      <c r="D3617" s="308"/>
      <c r="E3617" s="291"/>
      <c r="F3617" s="291"/>
      <c r="G3617" s="291"/>
      <c r="H3617" s="287"/>
      <c r="I3617" s="211"/>
      <c r="J3617" s="211"/>
      <c r="K3617" s="288"/>
    </row>
    <row r="3618" spans="4:11" x14ac:dyDescent="0.2">
      <c r="D3618" s="308"/>
      <c r="E3618" s="291"/>
      <c r="F3618" s="291"/>
      <c r="G3618" s="291"/>
      <c r="H3618" s="287"/>
      <c r="I3618" s="211"/>
      <c r="J3618" s="211"/>
      <c r="K3618" s="288"/>
    </row>
    <row r="3619" spans="4:11" x14ac:dyDescent="0.2">
      <c r="D3619" s="308"/>
      <c r="E3619" s="291"/>
      <c r="F3619" s="291"/>
      <c r="G3619" s="291"/>
      <c r="H3619" s="287"/>
      <c r="I3619" s="211"/>
      <c r="J3619" s="211"/>
      <c r="K3619" s="288"/>
    </row>
    <row r="3620" spans="4:11" x14ac:dyDescent="0.2">
      <c r="D3620" s="308"/>
      <c r="E3620" s="291"/>
      <c r="F3620" s="291"/>
      <c r="G3620" s="291"/>
      <c r="H3620" s="287"/>
      <c r="I3620" s="211"/>
      <c r="J3620" s="211"/>
      <c r="K3620" s="288"/>
    </row>
    <row r="3621" spans="4:11" x14ac:dyDescent="0.2">
      <c r="D3621" s="308"/>
      <c r="E3621" s="291"/>
      <c r="F3621" s="291"/>
      <c r="G3621" s="291"/>
      <c r="H3621" s="287"/>
      <c r="I3621" s="211"/>
      <c r="J3621" s="211"/>
      <c r="K3621" s="288"/>
    </row>
    <row r="3622" spans="4:11" x14ac:dyDescent="0.2">
      <c r="D3622" s="308"/>
      <c r="E3622" s="291"/>
      <c r="F3622" s="291"/>
      <c r="G3622" s="291"/>
      <c r="H3622" s="287"/>
      <c r="I3622" s="211"/>
      <c r="J3622" s="211"/>
      <c r="K3622" s="288"/>
    </row>
    <row r="3623" spans="4:11" x14ac:dyDescent="0.2">
      <c r="D3623" s="308"/>
      <c r="E3623" s="291"/>
      <c r="F3623" s="291"/>
      <c r="G3623" s="291"/>
      <c r="H3623" s="287"/>
      <c r="I3623" s="211"/>
      <c r="J3623" s="211"/>
      <c r="K3623" s="288"/>
    </row>
    <row r="3624" spans="4:11" x14ac:dyDescent="0.2">
      <c r="D3624" s="308"/>
      <c r="E3624" s="291"/>
      <c r="F3624" s="291"/>
      <c r="G3624" s="291"/>
      <c r="H3624" s="287"/>
      <c r="I3624" s="211"/>
      <c r="J3624" s="211"/>
      <c r="K3624" s="288"/>
    </row>
    <row r="3625" spans="4:11" x14ac:dyDescent="0.2">
      <c r="D3625" s="308"/>
      <c r="E3625" s="291"/>
      <c r="F3625" s="291"/>
      <c r="G3625" s="291"/>
      <c r="H3625" s="287"/>
      <c r="I3625" s="211"/>
      <c r="J3625" s="211"/>
      <c r="K3625" s="288"/>
    </row>
    <row r="3626" spans="4:11" x14ac:dyDescent="0.2">
      <c r="D3626" s="308"/>
      <c r="E3626" s="291"/>
      <c r="F3626" s="291"/>
      <c r="G3626" s="291"/>
      <c r="H3626" s="287"/>
      <c r="I3626" s="211"/>
      <c r="J3626" s="211"/>
      <c r="K3626" s="288"/>
    </row>
    <row r="3627" spans="4:11" x14ac:dyDescent="0.2">
      <c r="D3627" s="308"/>
      <c r="E3627" s="291"/>
      <c r="F3627" s="291"/>
      <c r="G3627" s="291"/>
      <c r="H3627" s="287"/>
      <c r="I3627" s="211"/>
      <c r="J3627" s="211"/>
      <c r="K3627" s="288"/>
    </row>
    <row r="3628" spans="4:11" x14ac:dyDescent="0.2">
      <c r="D3628" s="308"/>
      <c r="E3628" s="291"/>
      <c r="F3628" s="291"/>
      <c r="G3628" s="291"/>
      <c r="H3628" s="287"/>
      <c r="I3628" s="211"/>
      <c r="J3628" s="211"/>
      <c r="K3628" s="288"/>
    </row>
    <row r="3629" spans="4:11" x14ac:dyDescent="0.2">
      <c r="D3629" s="308"/>
      <c r="E3629" s="291"/>
      <c r="F3629" s="291"/>
      <c r="G3629" s="291"/>
      <c r="H3629" s="287"/>
      <c r="I3629" s="211"/>
      <c r="J3629" s="211"/>
      <c r="K3629" s="288"/>
    </row>
    <row r="3630" spans="4:11" x14ac:dyDescent="0.2">
      <c r="D3630" s="308"/>
      <c r="E3630" s="291"/>
      <c r="F3630" s="291"/>
      <c r="G3630" s="291"/>
      <c r="H3630" s="287"/>
      <c r="I3630" s="211"/>
      <c r="J3630" s="211"/>
      <c r="K3630" s="288"/>
    </row>
    <row r="3631" spans="4:11" x14ac:dyDescent="0.2">
      <c r="D3631" s="308"/>
      <c r="E3631" s="291"/>
      <c r="F3631" s="291"/>
      <c r="G3631" s="291"/>
      <c r="H3631" s="287"/>
      <c r="I3631" s="211"/>
      <c r="J3631" s="211"/>
      <c r="K3631" s="288"/>
    </row>
    <row r="3632" spans="4:11" x14ac:dyDescent="0.2">
      <c r="D3632" s="308"/>
      <c r="E3632" s="291"/>
      <c r="F3632" s="291"/>
      <c r="G3632" s="291"/>
      <c r="H3632" s="287"/>
      <c r="I3632" s="211"/>
      <c r="J3632" s="211"/>
      <c r="K3632" s="288"/>
    </row>
    <row r="3633" spans="4:11" x14ac:dyDescent="0.2">
      <c r="D3633" s="308"/>
      <c r="E3633" s="291"/>
      <c r="F3633" s="291"/>
      <c r="G3633" s="291"/>
      <c r="H3633" s="287"/>
      <c r="I3633" s="211"/>
      <c r="J3633" s="211"/>
      <c r="K3633" s="288"/>
    </row>
    <row r="3634" spans="4:11" x14ac:dyDescent="0.2">
      <c r="D3634" s="308"/>
      <c r="E3634" s="291"/>
      <c r="F3634" s="291"/>
      <c r="G3634" s="291"/>
      <c r="H3634" s="287"/>
      <c r="I3634" s="211"/>
      <c r="J3634" s="211"/>
      <c r="K3634" s="288"/>
    </row>
    <row r="3635" spans="4:11" x14ac:dyDescent="0.2">
      <c r="D3635" s="308"/>
      <c r="E3635" s="291"/>
      <c r="F3635" s="291"/>
      <c r="G3635" s="291"/>
      <c r="H3635" s="287"/>
      <c r="I3635" s="211"/>
      <c r="J3635" s="211"/>
      <c r="K3635" s="288"/>
    </row>
    <row r="3636" spans="4:11" x14ac:dyDescent="0.2">
      <c r="D3636" s="308"/>
      <c r="E3636" s="291"/>
      <c r="F3636" s="291"/>
      <c r="G3636" s="291"/>
      <c r="H3636" s="287"/>
      <c r="I3636" s="211"/>
      <c r="J3636" s="211"/>
      <c r="K3636" s="288"/>
    </row>
    <row r="3637" spans="4:11" x14ac:dyDescent="0.2">
      <c r="D3637" s="308"/>
      <c r="E3637" s="291"/>
      <c r="F3637" s="291"/>
      <c r="G3637" s="291"/>
      <c r="H3637" s="287"/>
      <c r="I3637" s="211"/>
      <c r="J3637" s="211"/>
      <c r="K3637" s="288"/>
    </row>
    <row r="3638" spans="4:11" x14ac:dyDescent="0.2">
      <c r="D3638" s="308"/>
      <c r="E3638" s="291"/>
      <c r="F3638" s="291"/>
      <c r="G3638" s="291"/>
      <c r="H3638" s="287"/>
      <c r="I3638" s="211"/>
      <c r="J3638" s="211"/>
      <c r="K3638" s="288"/>
    </row>
    <row r="3639" spans="4:11" x14ac:dyDescent="0.2">
      <c r="D3639" s="308"/>
      <c r="E3639" s="291"/>
      <c r="F3639" s="291"/>
      <c r="G3639" s="291"/>
      <c r="H3639" s="287"/>
      <c r="I3639" s="211"/>
      <c r="J3639" s="211"/>
      <c r="K3639" s="288"/>
    </row>
    <row r="3640" spans="4:11" x14ac:dyDescent="0.2">
      <c r="D3640" s="308"/>
      <c r="E3640" s="291"/>
      <c r="F3640" s="291"/>
      <c r="G3640" s="291"/>
      <c r="H3640" s="287"/>
      <c r="I3640" s="211"/>
      <c r="J3640" s="211"/>
      <c r="K3640" s="288"/>
    </row>
    <row r="3641" spans="4:11" x14ac:dyDescent="0.2">
      <c r="D3641" s="308"/>
      <c r="E3641" s="291"/>
      <c r="F3641" s="291"/>
      <c r="G3641" s="291"/>
      <c r="H3641" s="287"/>
      <c r="I3641" s="211"/>
      <c r="J3641" s="211"/>
      <c r="K3641" s="288"/>
    </row>
    <row r="3642" spans="4:11" x14ac:dyDescent="0.2">
      <c r="D3642" s="308"/>
      <c r="E3642" s="291"/>
      <c r="F3642" s="291"/>
      <c r="G3642" s="291"/>
      <c r="H3642" s="287"/>
      <c r="I3642" s="211"/>
      <c r="J3642" s="211"/>
      <c r="K3642" s="288"/>
    </row>
    <row r="3643" spans="4:11" x14ac:dyDescent="0.2">
      <c r="D3643" s="308"/>
      <c r="E3643" s="291"/>
      <c r="F3643" s="291"/>
      <c r="G3643" s="291"/>
      <c r="H3643" s="287"/>
      <c r="I3643" s="211"/>
      <c r="J3643" s="211"/>
      <c r="K3643" s="288"/>
    </row>
    <row r="3644" spans="4:11" x14ac:dyDescent="0.2">
      <c r="D3644" s="308"/>
      <c r="E3644" s="291"/>
      <c r="F3644" s="291"/>
      <c r="G3644" s="291"/>
      <c r="H3644" s="287"/>
      <c r="I3644" s="211"/>
      <c r="J3644" s="211"/>
      <c r="K3644" s="288"/>
    </row>
    <row r="3645" spans="4:11" x14ac:dyDescent="0.2">
      <c r="D3645" s="308"/>
      <c r="E3645" s="291"/>
      <c r="F3645" s="291"/>
      <c r="G3645" s="291"/>
      <c r="H3645" s="287"/>
      <c r="I3645" s="211"/>
      <c r="J3645" s="211"/>
      <c r="K3645" s="288"/>
    </row>
    <row r="3646" spans="4:11" x14ac:dyDescent="0.2">
      <c r="D3646" s="308"/>
      <c r="E3646" s="291"/>
      <c r="F3646" s="291"/>
      <c r="G3646" s="291"/>
      <c r="H3646" s="287"/>
      <c r="I3646" s="211"/>
      <c r="J3646" s="211"/>
      <c r="K3646" s="288"/>
    </row>
    <row r="3647" spans="4:11" x14ac:dyDescent="0.2">
      <c r="D3647" s="308"/>
      <c r="E3647" s="291"/>
      <c r="F3647" s="291"/>
      <c r="G3647" s="291"/>
      <c r="H3647" s="287"/>
      <c r="I3647" s="211"/>
      <c r="J3647" s="211"/>
      <c r="K3647" s="288"/>
    </row>
    <row r="3648" spans="4:11" x14ac:dyDescent="0.2">
      <c r="D3648" s="308"/>
      <c r="E3648" s="291"/>
      <c r="F3648" s="291"/>
      <c r="G3648" s="291"/>
      <c r="H3648" s="287"/>
      <c r="I3648" s="211"/>
      <c r="J3648" s="211"/>
      <c r="K3648" s="288"/>
    </row>
    <row r="3649" spans="4:11" x14ac:dyDescent="0.2">
      <c r="D3649" s="308"/>
      <c r="E3649" s="291"/>
      <c r="F3649" s="291"/>
      <c r="G3649" s="291"/>
      <c r="H3649" s="287"/>
      <c r="I3649" s="211"/>
      <c r="J3649" s="211"/>
      <c r="K3649" s="288"/>
    </row>
    <row r="3650" spans="4:11" x14ac:dyDescent="0.2">
      <c r="D3650" s="308"/>
      <c r="E3650" s="291"/>
      <c r="F3650" s="291"/>
      <c r="G3650" s="291"/>
      <c r="H3650" s="287"/>
      <c r="I3650" s="211"/>
      <c r="J3650" s="211"/>
      <c r="K3650" s="288"/>
    </row>
    <row r="3651" spans="4:11" x14ac:dyDescent="0.2">
      <c r="D3651" s="308"/>
      <c r="E3651" s="291"/>
      <c r="F3651" s="291"/>
      <c r="G3651" s="291"/>
      <c r="H3651" s="287"/>
      <c r="I3651" s="211"/>
      <c r="J3651" s="211"/>
      <c r="K3651" s="288"/>
    </row>
    <row r="3652" spans="4:11" x14ac:dyDescent="0.2">
      <c r="D3652" s="308"/>
      <c r="E3652" s="291"/>
      <c r="F3652" s="291"/>
      <c r="G3652" s="291"/>
      <c r="H3652" s="287"/>
      <c r="I3652" s="211"/>
      <c r="J3652" s="211"/>
      <c r="K3652" s="288"/>
    </row>
    <row r="3653" spans="4:11" x14ac:dyDescent="0.2">
      <c r="D3653" s="308"/>
      <c r="E3653" s="291"/>
      <c r="F3653" s="291"/>
      <c r="G3653" s="291"/>
      <c r="H3653" s="287"/>
      <c r="I3653" s="211"/>
      <c r="J3653" s="211"/>
      <c r="K3653" s="288"/>
    </row>
    <row r="3654" spans="4:11" x14ac:dyDescent="0.2">
      <c r="D3654" s="308"/>
      <c r="E3654" s="291"/>
      <c r="F3654" s="291"/>
      <c r="G3654" s="291"/>
      <c r="H3654" s="287"/>
      <c r="I3654" s="211"/>
      <c r="J3654" s="211"/>
      <c r="K3654" s="288"/>
    </row>
    <row r="3655" spans="4:11" x14ac:dyDescent="0.2">
      <c r="D3655" s="308"/>
      <c r="E3655" s="291"/>
      <c r="F3655" s="291"/>
      <c r="G3655" s="291"/>
      <c r="H3655" s="287"/>
      <c r="I3655" s="211"/>
      <c r="J3655" s="211"/>
      <c r="K3655" s="288"/>
    </row>
    <row r="3656" spans="4:11" x14ac:dyDescent="0.2">
      <c r="D3656" s="308"/>
      <c r="E3656" s="291"/>
      <c r="F3656" s="291"/>
      <c r="G3656" s="291"/>
      <c r="H3656" s="287"/>
      <c r="I3656" s="211"/>
      <c r="J3656" s="211"/>
      <c r="K3656" s="288"/>
    </row>
    <row r="3657" spans="4:11" x14ac:dyDescent="0.2">
      <c r="D3657" s="308"/>
      <c r="E3657" s="291"/>
      <c r="F3657" s="291"/>
      <c r="G3657" s="291"/>
      <c r="H3657" s="287"/>
      <c r="I3657" s="211"/>
      <c r="J3657" s="211"/>
      <c r="K3657" s="288"/>
    </row>
    <row r="3658" spans="4:11" x14ac:dyDescent="0.2">
      <c r="D3658" s="308"/>
      <c r="E3658" s="291"/>
      <c r="F3658" s="291"/>
      <c r="G3658" s="291"/>
      <c r="H3658" s="287"/>
      <c r="I3658" s="211"/>
      <c r="J3658" s="211"/>
      <c r="K3658" s="288"/>
    </row>
    <row r="3659" spans="4:11" x14ac:dyDescent="0.2">
      <c r="D3659" s="308"/>
      <c r="E3659" s="291"/>
      <c r="F3659" s="291"/>
      <c r="G3659" s="291"/>
      <c r="H3659" s="287"/>
      <c r="I3659" s="211"/>
      <c r="J3659" s="211"/>
      <c r="K3659" s="288"/>
    </row>
    <row r="3660" spans="4:11" x14ac:dyDescent="0.2">
      <c r="D3660" s="308"/>
      <c r="E3660" s="291"/>
      <c r="F3660" s="291"/>
      <c r="G3660" s="291"/>
      <c r="H3660" s="287"/>
      <c r="I3660" s="211"/>
      <c r="J3660" s="211"/>
      <c r="K3660" s="288"/>
    </row>
    <row r="3661" spans="4:11" x14ac:dyDescent="0.2">
      <c r="D3661" s="308"/>
      <c r="E3661" s="291"/>
      <c r="F3661" s="291"/>
      <c r="G3661" s="291"/>
      <c r="H3661" s="287"/>
      <c r="I3661" s="211"/>
      <c r="J3661" s="211"/>
      <c r="K3661" s="288"/>
    </row>
    <row r="3662" spans="4:11" x14ac:dyDescent="0.2">
      <c r="D3662" s="308"/>
      <c r="E3662" s="291"/>
      <c r="F3662" s="291"/>
      <c r="G3662" s="291"/>
      <c r="H3662" s="287"/>
      <c r="I3662" s="211"/>
      <c r="J3662" s="211"/>
      <c r="K3662" s="288"/>
    </row>
    <row r="3663" spans="4:11" x14ac:dyDescent="0.2">
      <c r="D3663" s="308"/>
      <c r="E3663" s="291"/>
      <c r="F3663" s="291"/>
      <c r="G3663" s="291"/>
      <c r="H3663" s="287"/>
      <c r="I3663" s="211"/>
      <c r="J3663" s="211"/>
      <c r="K3663" s="288"/>
    </row>
    <row r="3664" spans="4:11" x14ac:dyDescent="0.2">
      <c r="D3664" s="308"/>
      <c r="E3664" s="291"/>
      <c r="F3664" s="291"/>
      <c r="G3664" s="291"/>
      <c r="H3664" s="287"/>
      <c r="I3664" s="211"/>
      <c r="J3664" s="211"/>
      <c r="K3664" s="288"/>
    </row>
    <row r="3665" spans="4:11" x14ac:dyDescent="0.2">
      <c r="D3665" s="308"/>
      <c r="E3665" s="291"/>
      <c r="F3665" s="291"/>
      <c r="G3665" s="291"/>
      <c r="H3665" s="287"/>
      <c r="I3665" s="211"/>
      <c r="J3665" s="211"/>
      <c r="K3665" s="288"/>
    </row>
    <row r="3666" spans="4:11" x14ac:dyDescent="0.2">
      <c r="D3666" s="308"/>
      <c r="E3666" s="291"/>
      <c r="F3666" s="291"/>
      <c r="G3666" s="291"/>
      <c r="H3666" s="287"/>
      <c r="I3666" s="211"/>
      <c r="J3666" s="211"/>
      <c r="K3666" s="288"/>
    </row>
    <row r="3667" spans="4:11" x14ac:dyDescent="0.2">
      <c r="D3667" s="308"/>
      <c r="E3667" s="291"/>
      <c r="F3667" s="291"/>
      <c r="G3667" s="291"/>
      <c r="H3667" s="287"/>
      <c r="I3667" s="211"/>
      <c r="J3667" s="211"/>
      <c r="K3667" s="288"/>
    </row>
    <row r="3668" spans="4:11" x14ac:dyDescent="0.2">
      <c r="D3668" s="308"/>
      <c r="E3668" s="291"/>
      <c r="F3668" s="291"/>
      <c r="G3668" s="291"/>
      <c r="H3668" s="287"/>
      <c r="I3668" s="211"/>
      <c r="J3668" s="211"/>
      <c r="K3668" s="288"/>
    </row>
    <row r="3669" spans="4:11" x14ac:dyDescent="0.2">
      <c r="D3669" s="308"/>
      <c r="E3669" s="291"/>
      <c r="F3669" s="291"/>
      <c r="G3669" s="291"/>
      <c r="H3669" s="287"/>
      <c r="I3669" s="211"/>
      <c r="J3669" s="211"/>
      <c r="K3669" s="288"/>
    </row>
    <row r="3670" spans="4:11" x14ac:dyDescent="0.2">
      <c r="D3670" s="308"/>
      <c r="E3670" s="291"/>
      <c r="F3670" s="291"/>
      <c r="G3670" s="291"/>
      <c r="H3670" s="287"/>
      <c r="I3670" s="211"/>
      <c r="J3670" s="211"/>
      <c r="K3670" s="288"/>
    </row>
    <row r="3671" spans="4:11" x14ac:dyDescent="0.2">
      <c r="D3671" s="308"/>
      <c r="E3671" s="291"/>
      <c r="F3671" s="291"/>
      <c r="G3671" s="291"/>
      <c r="H3671" s="287"/>
      <c r="I3671" s="211"/>
      <c r="J3671" s="211"/>
      <c r="K3671" s="288"/>
    </row>
    <row r="3672" spans="4:11" x14ac:dyDescent="0.2">
      <c r="D3672" s="308"/>
      <c r="E3672" s="291"/>
      <c r="F3672" s="291"/>
      <c r="G3672" s="291"/>
      <c r="H3672" s="287"/>
      <c r="I3672" s="211"/>
      <c r="J3672" s="211"/>
      <c r="K3672" s="288"/>
    </row>
    <row r="3673" spans="4:11" x14ac:dyDescent="0.2">
      <c r="D3673" s="308"/>
      <c r="E3673" s="291"/>
      <c r="F3673" s="291"/>
      <c r="G3673" s="291"/>
      <c r="H3673" s="287"/>
      <c r="I3673" s="211"/>
      <c r="J3673" s="211"/>
      <c r="K3673" s="288"/>
    </row>
    <row r="3674" spans="4:11" x14ac:dyDescent="0.2">
      <c r="D3674" s="308"/>
      <c r="E3674" s="291"/>
      <c r="F3674" s="291"/>
      <c r="G3674" s="291"/>
      <c r="H3674" s="287"/>
      <c r="I3674" s="211"/>
      <c r="J3674" s="211"/>
      <c r="K3674" s="288"/>
    </row>
    <row r="3675" spans="4:11" x14ac:dyDescent="0.2">
      <c r="D3675" s="308"/>
      <c r="E3675" s="291"/>
      <c r="F3675" s="291"/>
      <c r="G3675" s="291"/>
      <c r="H3675" s="287"/>
      <c r="I3675" s="211"/>
      <c r="J3675" s="211"/>
      <c r="K3675" s="288"/>
    </row>
    <row r="3676" spans="4:11" x14ac:dyDescent="0.2">
      <c r="D3676" s="308"/>
      <c r="E3676" s="291"/>
      <c r="F3676" s="291"/>
      <c r="G3676" s="291"/>
      <c r="H3676" s="287"/>
      <c r="I3676" s="211"/>
      <c r="J3676" s="211"/>
      <c r="K3676" s="288"/>
    </row>
    <row r="3677" spans="4:11" x14ac:dyDescent="0.2">
      <c r="D3677" s="308"/>
      <c r="E3677" s="291"/>
      <c r="F3677" s="291"/>
      <c r="G3677" s="291"/>
      <c r="H3677" s="287"/>
      <c r="I3677" s="211"/>
      <c r="J3677" s="211"/>
      <c r="K3677" s="288"/>
    </row>
    <row r="3678" spans="4:11" x14ac:dyDescent="0.2">
      <c r="D3678" s="308"/>
      <c r="E3678" s="291"/>
      <c r="F3678" s="291"/>
      <c r="G3678" s="291"/>
      <c r="H3678" s="287"/>
      <c r="I3678" s="211"/>
      <c r="J3678" s="211"/>
      <c r="K3678" s="288"/>
    </row>
    <row r="3679" spans="4:11" x14ac:dyDescent="0.2">
      <c r="D3679" s="308"/>
      <c r="E3679" s="291"/>
      <c r="F3679" s="291"/>
      <c r="G3679" s="291"/>
      <c r="H3679" s="287"/>
      <c r="I3679" s="211"/>
      <c r="J3679" s="211"/>
      <c r="K3679" s="288"/>
    </row>
    <row r="3680" spans="4:11" x14ac:dyDescent="0.2">
      <c r="D3680" s="308"/>
      <c r="E3680" s="291"/>
      <c r="F3680" s="291"/>
      <c r="G3680" s="291"/>
      <c r="H3680" s="287"/>
      <c r="I3680" s="211"/>
      <c r="J3680" s="211"/>
      <c r="K3680" s="288"/>
    </row>
    <row r="3681" spans="4:11" x14ac:dyDescent="0.2">
      <c r="D3681" s="308"/>
      <c r="E3681" s="291"/>
      <c r="F3681" s="291"/>
      <c r="G3681" s="291"/>
      <c r="H3681" s="287"/>
      <c r="I3681" s="211"/>
      <c r="J3681" s="211"/>
      <c r="K3681" s="288"/>
    </row>
    <row r="3682" spans="4:11" x14ac:dyDescent="0.2">
      <c r="D3682" s="308"/>
      <c r="E3682" s="291"/>
      <c r="F3682" s="291"/>
      <c r="G3682" s="291"/>
      <c r="H3682" s="287"/>
      <c r="I3682" s="211"/>
      <c r="J3682" s="211"/>
      <c r="K3682" s="288"/>
    </row>
    <row r="3683" spans="4:11" x14ac:dyDescent="0.2">
      <c r="D3683" s="308"/>
      <c r="E3683" s="291"/>
      <c r="F3683" s="291"/>
      <c r="G3683" s="291"/>
      <c r="H3683" s="287"/>
      <c r="I3683" s="211"/>
      <c r="J3683" s="211"/>
      <c r="K3683" s="288"/>
    </row>
    <row r="3684" spans="4:11" x14ac:dyDescent="0.2">
      <c r="D3684" s="308"/>
      <c r="E3684" s="291"/>
      <c r="F3684" s="291"/>
      <c r="G3684" s="291"/>
      <c r="H3684" s="287"/>
      <c r="I3684" s="211"/>
      <c r="J3684" s="211"/>
      <c r="K3684" s="288"/>
    </row>
    <row r="3685" spans="4:11" x14ac:dyDescent="0.2">
      <c r="D3685" s="308"/>
      <c r="E3685" s="291"/>
      <c r="F3685" s="291"/>
      <c r="G3685" s="291"/>
      <c r="H3685" s="287"/>
      <c r="I3685" s="211"/>
      <c r="J3685" s="211"/>
      <c r="K3685" s="288"/>
    </row>
    <row r="3686" spans="4:11" x14ac:dyDescent="0.2">
      <c r="D3686" s="308"/>
      <c r="E3686" s="291"/>
      <c r="F3686" s="291"/>
      <c r="G3686" s="291"/>
      <c r="H3686" s="287"/>
      <c r="I3686" s="211"/>
      <c r="J3686" s="211"/>
      <c r="K3686" s="288"/>
    </row>
    <row r="3687" spans="4:11" x14ac:dyDescent="0.2">
      <c r="D3687" s="308"/>
      <c r="E3687" s="291"/>
      <c r="F3687" s="291"/>
      <c r="G3687" s="291"/>
      <c r="H3687" s="287"/>
      <c r="I3687" s="211"/>
      <c r="J3687" s="211"/>
      <c r="K3687" s="288"/>
    </row>
    <row r="3688" spans="4:11" x14ac:dyDescent="0.2">
      <c r="D3688" s="308"/>
      <c r="E3688" s="291"/>
      <c r="F3688" s="291"/>
      <c r="G3688" s="291"/>
      <c r="H3688" s="287"/>
      <c r="I3688" s="211"/>
      <c r="J3688" s="211"/>
      <c r="K3688" s="288"/>
    </row>
    <row r="3689" spans="4:11" x14ac:dyDescent="0.2">
      <c r="D3689" s="308"/>
      <c r="E3689" s="291"/>
      <c r="F3689" s="291"/>
      <c r="G3689" s="291"/>
      <c r="H3689" s="287"/>
      <c r="I3689" s="211"/>
      <c r="J3689" s="211"/>
      <c r="K3689" s="288"/>
    </row>
    <row r="3690" spans="4:11" x14ac:dyDescent="0.2">
      <c r="D3690" s="308"/>
      <c r="E3690" s="291"/>
      <c r="F3690" s="291"/>
      <c r="G3690" s="291"/>
      <c r="H3690" s="287"/>
      <c r="I3690" s="211"/>
      <c r="J3690" s="211"/>
      <c r="K3690" s="288"/>
    </row>
    <row r="3691" spans="4:11" x14ac:dyDescent="0.2">
      <c r="D3691" s="308"/>
      <c r="E3691" s="291"/>
      <c r="F3691" s="291"/>
      <c r="G3691" s="291"/>
      <c r="H3691" s="287"/>
      <c r="I3691" s="211"/>
      <c r="J3691" s="211"/>
      <c r="K3691" s="288"/>
    </row>
    <row r="3692" spans="4:11" x14ac:dyDescent="0.2">
      <c r="D3692" s="308"/>
      <c r="E3692" s="291"/>
      <c r="F3692" s="291"/>
      <c r="G3692" s="291"/>
      <c r="H3692" s="287"/>
      <c r="I3692" s="211"/>
      <c r="J3692" s="211"/>
      <c r="K3692" s="288"/>
    </row>
    <row r="3693" spans="4:11" x14ac:dyDescent="0.2">
      <c r="D3693" s="308"/>
      <c r="E3693" s="291"/>
      <c r="F3693" s="291"/>
      <c r="G3693" s="291"/>
      <c r="H3693" s="287"/>
      <c r="I3693" s="211"/>
      <c r="J3693" s="211"/>
      <c r="K3693" s="288"/>
    </row>
    <row r="3694" spans="4:11" x14ac:dyDescent="0.2">
      <c r="D3694" s="308"/>
      <c r="E3694" s="291"/>
      <c r="F3694" s="291"/>
      <c r="G3694" s="291"/>
      <c r="H3694" s="287"/>
      <c r="I3694" s="211"/>
      <c r="J3694" s="211"/>
      <c r="K3694" s="288"/>
    </row>
    <row r="3695" spans="4:11" x14ac:dyDescent="0.2">
      <c r="D3695" s="308"/>
      <c r="E3695" s="291"/>
      <c r="F3695" s="291"/>
      <c r="G3695" s="291"/>
      <c r="H3695" s="287"/>
      <c r="I3695" s="211"/>
      <c r="J3695" s="211"/>
      <c r="K3695" s="288"/>
    </row>
    <row r="3696" spans="4:11" x14ac:dyDescent="0.2">
      <c r="D3696" s="308"/>
      <c r="E3696" s="291"/>
      <c r="F3696" s="291"/>
      <c r="G3696" s="291"/>
      <c r="H3696" s="287"/>
      <c r="I3696" s="211"/>
      <c r="J3696" s="211"/>
      <c r="K3696" s="288"/>
    </row>
    <row r="3697" spans="4:11" x14ac:dyDescent="0.2">
      <c r="D3697" s="308"/>
      <c r="E3697" s="291"/>
      <c r="F3697" s="291"/>
      <c r="G3697" s="291"/>
      <c r="H3697" s="287"/>
      <c r="I3697" s="211"/>
      <c r="J3697" s="211"/>
      <c r="K3697" s="288"/>
    </row>
    <row r="3698" spans="4:11" x14ac:dyDescent="0.2">
      <c r="D3698" s="308"/>
      <c r="E3698" s="291"/>
      <c r="F3698" s="291"/>
      <c r="G3698" s="291"/>
      <c r="H3698" s="287"/>
      <c r="I3698" s="211"/>
      <c r="J3698" s="211"/>
      <c r="K3698" s="288"/>
    </row>
    <row r="3699" spans="4:11" x14ac:dyDescent="0.2">
      <c r="D3699" s="308"/>
      <c r="E3699" s="291"/>
      <c r="F3699" s="291"/>
      <c r="G3699" s="291"/>
      <c r="H3699" s="287"/>
      <c r="I3699" s="211"/>
      <c r="J3699" s="211"/>
      <c r="K3699" s="288"/>
    </row>
    <row r="3700" spans="4:11" x14ac:dyDescent="0.2">
      <c r="D3700" s="308"/>
      <c r="E3700" s="291"/>
      <c r="F3700" s="291"/>
      <c r="G3700" s="291"/>
      <c r="H3700" s="287"/>
      <c r="I3700" s="211"/>
      <c r="J3700" s="211"/>
      <c r="K3700" s="288"/>
    </row>
    <row r="3701" spans="4:11" x14ac:dyDescent="0.2">
      <c r="D3701" s="308"/>
      <c r="E3701" s="291"/>
      <c r="F3701" s="291"/>
      <c r="G3701" s="291"/>
      <c r="H3701" s="287"/>
      <c r="I3701" s="211"/>
      <c r="J3701" s="211"/>
      <c r="K3701" s="288"/>
    </row>
    <row r="3702" spans="4:11" x14ac:dyDescent="0.2">
      <c r="D3702" s="308"/>
      <c r="E3702" s="291"/>
      <c r="F3702" s="291"/>
      <c r="G3702" s="291"/>
      <c r="H3702" s="287"/>
      <c r="I3702" s="211"/>
      <c r="J3702" s="211"/>
      <c r="K3702" s="288"/>
    </row>
    <row r="3703" spans="4:11" x14ac:dyDescent="0.2">
      <c r="D3703" s="308"/>
      <c r="E3703" s="291"/>
      <c r="F3703" s="291"/>
      <c r="G3703" s="291"/>
      <c r="H3703" s="287"/>
      <c r="I3703" s="211"/>
      <c r="J3703" s="211"/>
      <c r="K3703" s="288"/>
    </row>
    <row r="3704" spans="4:11" x14ac:dyDescent="0.2">
      <c r="D3704" s="308"/>
      <c r="E3704" s="291"/>
      <c r="F3704" s="291"/>
      <c r="G3704" s="291"/>
      <c r="H3704" s="287"/>
      <c r="I3704" s="211"/>
      <c r="J3704" s="211"/>
      <c r="K3704" s="288"/>
    </row>
    <row r="3705" spans="4:11" x14ac:dyDescent="0.2">
      <c r="D3705" s="308"/>
      <c r="E3705" s="291"/>
      <c r="F3705" s="291"/>
      <c r="G3705" s="291"/>
      <c r="H3705" s="287"/>
      <c r="I3705" s="211"/>
      <c r="J3705" s="211"/>
      <c r="K3705" s="288"/>
    </row>
    <row r="3706" spans="4:11" x14ac:dyDescent="0.2">
      <c r="D3706" s="308"/>
      <c r="E3706" s="291"/>
      <c r="F3706" s="291"/>
      <c r="G3706" s="291"/>
      <c r="H3706" s="287"/>
      <c r="I3706" s="211"/>
      <c r="J3706" s="211"/>
      <c r="K3706" s="288"/>
    </row>
    <row r="3707" spans="4:11" x14ac:dyDescent="0.2">
      <c r="D3707" s="308"/>
      <c r="E3707" s="291"/>
      <c r="F3707" s="291"/>
      <c r="G3707" s="291"/>
      <c r="H3707" s="287"/>
      <c r="I3707" s="211"/>
      <c r="J3707" s="211"/>
      <c r="K3707" s="288"/>
    </row>
    <row r="3708" spans="4:11" x14ac:dyDescent="0.2">
      <c r="D3708" s="308"/>
      <c r="E3708" s="291"/>
      <c r="F3708" s="291"/>
      <c r="G3708" s="291"/>
      <c r="H3708" s="287"/>
      <c r="I3708" s="211"/>
      <c r="J3708" s="211"/>
      <c r="K3708" s="288"/>
    </row>
    <row r="3709" spans="4:11" x14ac:dyDescent="0.2">
      <c r="D3709" s="308"/>
      <c r="E3709" s="291"/>
      <c r="F3709" s="291"/>
      <c r="G3709" s="291"/>
      <c r="H3709" s="287"/>
      <c r="I3709" s="211"/>
      <c r="J3709" s="211"/>
      <c r="K3709" s="288"/>
    </row>
    <row r="3710" spans="4:11" x14ac:dyDescent="0.2">
      <c r="D3710" s="308"/>
      <c r="E3710" s="291"/>
      <c r="F3710" s="291"/>
      <c r="G3710" s="291"/>
      <c r="H3710" s="287"/>
      <c r="I3710" s="211"/>
      <c r="J3710" s="211"/>
      <c r="K3710" s="288"/>
    </row>
    <row r="3711" spans="4:11" x14ac:dyDescent="0.2">
      <c r="D3711" s="308"/>
      <c r="E3711" s="291"/>
      <c r="F3711" s="291"/>
      <c r="G3711" s="291"/>
      <c r="H3711" s="287"/>
      <c r="I3711" s="211"/>
      <c r="J3711" s="211"/>
      <c r="K3711" s="288"/>
    </row>
    <row r="3712" spans="4:11" x14ac:dyDescent="0.2">
      <c r="D3712" s="308"/>
      <c r="E3712" s="291"/>
      <c r="F3712" s="291"/>
      <c r="G3712" s="291"/>
      <c r="H3712" s="287"/>
      <c r="I3712" s="211"/>
      <c r="J3712" s="211"/>
      <c r="K3712" s="288"/>
    </row>
    <row r="3713" spans="4:11" x14ac:dyDescent="0.2">
      <c r="D3713" s="308"/>
      <c r="E3713" s="291"/>
      <c r="F3713" s="291"/>
      <c r="G3713" s="291"/>
      <c r="H3713" s="287"/>
      <c r="I3713" s="211"/>
      <c r="J3713" s="211"/>
      <c r="K3713" s="288"/>
    </row>
    <row r="3714" spans="4:11" x14ac:dyDescent="0.2">
      <c r="D3714" s="308"/>
      <c r="E3714" s="291"/>
      <c r="F3714" s="291"/>
      <c r="G3714" s="291"/>
      <c r="H3714" s="287"/>
      <c r="I3714" s="211"/>
      <c r="J3714" s="211"/>
      <c r="K3714" s="288"/>
    </row>
    <row r="3715" spans="4:11" x14ac:dyDescent="0.2">
      <c r="D3715" s="308"/>
      <c r="E3715" s="291"/>
      <c r="F3715" s="291"/>
      <c r="G3715" s="291"/>
      <c r="H3715" s="287"/>
      <c r="I3715" s="211"/>
      <c r="J3715" s="211"/>
      <c r="K3715" s="288"/>
    </row>
    <row r="3716" spans="4:11" x14ac:dyDescent="0.2">
      <c r="D3716" s="308"/>
      <c r="E3716" s="291"/>
      <c r="F3716" s="291"/>
      <c r="G3716" s="291"/>
      <c r="H3716" s="287"/>
      <c r="I3716" s="211"/>
      <c r="J3716" s="211"/>
      <c r="K3716" s="288"/>
    </row>
    <row r="3717" spans="4:11" x14ac:dyDescent="0.2">
      <c r="D3717" s="308"/>
      <c r="E3717" s="291"/>
      <c r="F3717" s="291"/>
      <c r="G3717" s="291"/>
      <c r="H3717" s="287"/>
      <c r="I3717" s="211"/>
      <c r="J3717" s="211"/>
      <c r="K3717" s="288"/>
    </row>
    <row r="3718" spans="4:11" x14ac:dyDescent="0.2">
      <c r="D3718" s="308"/>
      <c r="E3718" s="291"/>
      <c r="F3718" s="291"/>
      <c r="G3718" s="291"/>
      <c r="H3718" s="287"/>
      <c r="I3718" s="211"/>
      <c r="J3718" s="211"/>
      <c r="K3718" s="288"/>
    </row>
    <row r="3719" spans="4:11" x14ac:dyDescent="0.2">
      <c r="D3719" s="308"/>
      <c r="E3719" s="291"/>
      <c r="F3719" s="291"/>
      <c r="G3719" s="291"/>
      <c r="H3719" s="287"/>
      <c r="I3719" s="211"/>
      <c r="J3719" s="211"/>
      <c r="K3719" s="288"/>
    </row>
    <row r="3720" spans="4:11" x14ac:dyDescent="0.2">
      <c r="D3720" s="308"/>
      <c r="E3720" s="291"/>
      <c r="F3720" s="291"/>
      <c r="G3720" s="291"/>
      <c r="H3720" s="287"/>
      <c r="I3720" s="211"/>
      <c r="J3720" s="211"/>
      <c r="K3720" s="288"/>
    </row>
    <row r="3721" spans="4:11" x14ac:dyDescent="0.2">
      <c r="D3721" s="308"/>
      <c r="E3721" s="291"/>
      <c r="F3721" s="291"/>
      <c r="G3721" s="291"/>
      <c r="H3721" s="287"/>
      <c r="I3721" s="211"/>
      <c r="J3721" s="211"/>
      <c r="K3721" s="288"/>
    </row>
    <row r="3722" spans="4:11" x14ac:dyDescent="0.2">
      <c r="D3722" s="308"/>
      <c r="E3722" s="291"/>
      <c r="F3722" s="291"/>
      <c r="G3722" s="291"/>
      <c r="H3722" s="287"/>
      <c r="I3722" s="211"/>
      <c r="J3722" s="211"/>
      <c r="K3722" s="288"/>
    </row>
    <row r="3723" spans="4:11" x14ac:dyDescent="0.2">
      <c r="D3723" s="308"/>
      <c r="E3723" s="291"/>
      <c r="F3723" s="291"/>
      <c r="G3723" s="291"/>
      <c r="H3723" s="287"/>
      <c r="I3723" s="211"/>
      <c r="J3723" s="211"/>
      <c r="K3723" s="288"/>
    </row>
    <row r="3724" spans="4:11" x14ac:dyDescent="0.2">
      <c r="D3724" s="308"/>
      <c r="E3724" s="291"/>
      <c r="F3724" s="291"/>
      <c r="G3724" s="291"/>
      <c r="H3724" s="287"/>
      <c r="I3724" s="211"/>
      <c r="J3724" s="211"/>
      <c r="K3724" s="288"/>
    </row>
    <row r="3725" spans="4:11" x14ac:dyDescent="0.2">
      <c r="D3725" s="308"/>
      <c r="E3725" s="291"/>
      <c r="F3725" s="291"/>
      <c r="G3725" s="291"/>
      <c r="H3725" s="287"/>
      <c r="I3725" s="211"/>
      <c r="J3725" s="211"/>
      <c r="K3725" s="288"/>
    </row>
    <row r="3726" spans="4:11" x14ac:dyDescent="0.2">
      <c r="D3726" s="308"/>
      <c r="E3726" s="291"/>
      <c r="F3726" s="291"/>
      <c r="G3726" s="291"/>
      <c r="H3726" s="287"/>
      <c r="I3726" s="211"/>
      <c r="J3726" s="211"/>
      <c r="K3726" s="288"/>
    </row>
    <row r="3727" spans="4:11" x14ac:dyDescent="0.2">
      <c r="D3727" s="308"/>
      <c r="E3727" s="291"/>
      <c r="F3727" s="291"/>
      <c r="G3727" s="291"/>
      <c r="H3727" s="287"/>
      <c r="I3727" s="211"/>
      <c r="J3727" s="211"/>
      <c r="K3727" s="288"/>
    </row>
    <row r="3728" spans="4:11" x14ac:dyDescent="0.2">
      <c r="D3728" s="308"/>
      <c r="E3728" s="291"/>
      <c r="F3728" s="291"/>
      <c r="G3728" s="291"/>
      <c r="H3728" s="287"/>
      <c r="I3728" s="211"/>
      <c r="J3728" s="211"/>
      <c r="K3728" s="288"/>
    </row>
    <row r="3729" spans="4:11" x14ac:dyDescent="0.2">
      <c r="D3729" s="308"/>
      <c r="E3729" s="291"/>
      <c r="F3729" s="291"/>
      <c r="G3729" s="291"/>
      <c r="H3729" s="287"/>
      <c r="I3729" s="211"/>
      <c r="J3729" s="211"/>
      <c r="K3729" s="288"/>
    </row>
    <row r="3730" spans="4:11" x14ac:dyDescent="0.2">
      <c r="D3730" s="308"/>
      <c r="E3730" s="291"/>
      <c r="F3730" s="291"/>
      <c r="G3730" s="291"/>
      <c r="H3730" s="287"/>
      <c r="I3730" s="211"/>
      <c r="J3730" s="211"/>
      <c r="K3730" s="288"/>
    </row>
    <row r="3731" spans="4:11" x14ac:dyDescent="0.2">
      <c r="D3731" s="308"/>
      <c r="E3731" s="291"/>
      <c r="F3731" s="291"/>
      <c r="G3731" s="291"/>
      <c r="H3731" s="287"/>
      <c r="I3731" s="211"/>
      <c r="J3731" s="211"/>
      <c r="K3731" s="288"/>
    </row>
    <row r="3732" spans="4:11" x14ac:dyDescent="0.2">
      <c r="D3732" s="308"/>
      <c r="E3732" s="291"/>
      <c r="F3732" s="291"/>
      <c r="G3732" s="291"/>
      <c r="H3732" s="287"/>
      <c r="I3732" s="211"/>
      <c r="J3732" s="211"/>
      <c r="K3732" s="288"/>
    </row>
    <row r="3733" spans="4:11" x14ac:dyDescent="0.2">
      <c r="D3733" s="308"/>
      <c r="E3733" s="291"/>
      <c r="F3733" s="291"/>
      <c r="G3733" s="291"/>
      <c r="H3733" s="287"/>
      <c r="I3733" s="211"/>
      <c r="J3733" s="211"/>
      <c r="K3733" s="288"/>
    </row>
    <row r="3734" spans="4:11" x14ac:dyDescent="0.2">
      <c r="D3734" s="308"/>
      <c r="E3734" s="291"/>
      <c r="F3734" s="291"/>
      <c r="G3734" s="291"/>
      <c r="H3734" s="287"/>
      <c r="I3734" s="211"/>
      <c r="J3734" s="211"/>
      <c r="K3734" s="288"/>
    </row>
    <row r="3735" spans="4:11" x14ac:dyDescent="0.2">
      <c r="D3735" s="308"/>
      <c r="E3735" s="291"/>
      <c r="F3735" s="291"/>
      <c r="G3735" s="291"/>
      <c r="H3735" s="287"/>
      <c r="I3735" s="211"/>
      <c r="J3735" s="211"/>
      <c r="K3735" s="288"/>
    </row>
    <row r="3736" spans="4:11" x14ac:dyDescent="0.2">
      <c r="D3736" s="308"/>
      <c r="E3736" s="291"/>
      <c r="F3736" s="291"/>
      <c r="G3736" s="291"/>
      <c r="H3736" s="287"/>
      <c r="I3736" s="211"/>
      <c r="J3736" s="211"/>
      <c r="K3736" s="288"/>
    </row>
    <row r="3737" spans="4:11" x14ac:dyDescent="0.2">
      <c r="D3737" s="308"/>
      <c r="E3737" s="291"/>
      <c r="F3737" s="291"/>
      <c r="G3737" s="291"/>
      <c r="H3737" s="287"/>
      <c r="I3737" s="211"/>
      <c r="J3737" s="211"/>
      <c r="K3737" s="288"/>
    </row>
    <row r="3738" spans="4:11" x14ac:dyDescent="0.2">
      <c r="D3738" s="308"/>
      <c r="E3738" s="291"/>
      <c r="F3738" s="291"/>
      <c r="G3738" s="291"/>
      <c r="H3738" s="287"/>
      <c r="I3738" s="211"/>
      <c r="J3738" s="211"/>
      <c r="K3738" s="288"/>
    </row>
    <row r="3739" spans="4:11" x14ac:dyDescent="0.2">
      <c r="D3739" s="308"/>
      <c r="E3739" s="291"/>
      <c r="F3739" s="291"/>
      <c r="G3739" s="291"/>
      <c r="H3739" s="287"/>
      <c r="I3739" s="211"/>
      <c r="J3739" s="211"/>
      <c r="K3739" s="288"/>
    </row>
    <row r="3740" spans="4:11" x14ac:dyDescent="0.2">
      <c r="D3740" s="308"/>
      <c r="E3740" s="291"/>
      <c r="F3740" s="291"/>
      <c r="G3740" s="291"/>
      <c r="H3740" s="287"/>
      <c r="I3740" s="211"/>
      <c r="J3740" s="211"/>
      <c r="K3740" s="288"/>
    </row>
    <row r="3741" spans="4:11" x14ac:dyDescent="0.2">
      <c r="D3741" s="308"/>
      <c r="E3741" s="291"/>
      <c r="F3741" s="291"/>
      <c r="G3741" s="291"/>
      <c r="H3741" s="287"/>
      <c r="I3741" s="211"/>
      <c r="J3741" s="211"/>
      <c r="K3741" s="288"/>
    </row>
    <row r="3742" spans="4:11" x14ac:dyDescent="0.2">
      <c r="D3742" s="308"/>
      <c r="E3742" s="291"/>
      <c r="F3742" s="291"/>
      <c r="G3742" s="291"/>
      <c r="H3742" s="287"/>
      <c r="I3742" s="211"/>
      <c r="J3742" s="211"/>
      <c r="K3742" s="288"/>
    </row>
    <row r="3743" spans="4:11" x14ac:dyDescent="0.2">
      <c r="D3743" s="308"/>
      <c r="E3743" s="291"/>
      <c r="F3743" s="291"/>
      <c r="G3743" s="291"/>
      <c r="H3743" s="287"/>
      <c r="I3743" s="211"/>
      <c r="J3743" s="211"/>
      <c r="K3743" s="288"/>
    </row>
    <row r="3744" spans="4:11" x14ac:dyDescent="0.2">
      <c r="D3744" s="308"/>
      <c r="E3744" s="291"/>
      <c r="F3744" s="291"/>
      <c r="G3744" s="291"/>
      <c r="H3744" s="287"/>
      <c r="I3744" s="211"/>
      <c r="J3744" s="211"/>
      <c r="K3744" s="288"/>
    </row>
    <row r="3745" spans="4:11" x14ac:dyDescent="0.2">
      <c r="D3745" s="308"/>
      <c r="E3745" s="291"/>
      <c r="F3745" s="291"/>
      <c r="G3745" s="291"/>
      <c r="H3745" s="287"/>
      <c r="I3745" s="211"/>
      <c r="J3745" s="211"/>
      <c r="K3745" s="288"/>
    </row>
    <row r="3746" spans="4:11" x14ac:dyDescent="0.2">
      <c r="D3746" s="308"/>
      <c r="E3746" s="291"/>
      <c r="F3746" s="291"/>
      <c r="G3746" s="291"/>
      <c r="H3746" s="287"/>
      <c r="I3746" s="211"/>
      <c r="J3746" s="211"/>
      <c r="K3746" s="288"/>
    </row>
    <row r="3747" spans="4:11" x14ac:dyDescent="0.2">
      <c r="D3747" s="308"/>
      <c r="E3747" s="291"/>
      <c r="F3747" s="291"/>
      <c r="G3747" s="291"/>
      <c r="H3747" s="287"/>
      <c r="I3747" s="211"/>
      <c r="J3747" s="211"/>
      <c r="K3747" s="288"/>
    </row>
    <row r="3748" spans="4:11" x14ac:dyDescent="0.2">
      <c r="D3748" s="308"/>
      <c r="E3748" s="291"/>
      <c r="F3748" s="291"/>
      <c r="G3748" s="291"/>
      <c r="H3748" s="287"/>
      <c r="I3748" s="211"/>
      <c r="J3748" s="211"/>
      <c r="K3748" s="288"/>
    </row>
    <row r="3749" spans="4:11" x14ac:dyDescent="0.2">
      <c r="D3749" s="308"/>
      <c r="E3749" s="291"/>
      <c r="F3749" s="291"/>
      <c r="G3749" s="291"/>
      <c r="H3749" s="287"/>
      <c r="I3749" s="211"/>
      <c r="J3749" s="211"/>
      <c r="K3749" s="288"/>
    </row>
    <row r="3750" spans="4:11" x14ac:dyDescent="0.2">
      <c r="D3750" s="308"/>
      <c r="E3750" s="291"/>
      <c r="F3750" s="291"/>
      <c r="G3750" s="291"/>
      <c r="H3750" s="287"/>
      <c r="I3750" s="211"/>
      <c r="J3750" s="211"/>
      <c r="K3750" s="288"/>
    </row>
    <row r="3751" spans="4:11" x14ac:dyDescent="0.2">
      <c r="D3751" s="308"/>
      <c r="E3751" s="291"/>
      <c r="F3751" s="291"/>
      <c r="G3751" s="291"/>
      <c r="H3751" s="287"/>
      <c r="I3751" s="211"/>
      <c r="J3751" s="211"/>
      <c r="K3751" s="288"/>
    </row>
    <row r="3752" spans="4:11" x14ac:dyDescent="0.2">
      <c r="D3752" s="308"/>
      <c r="E3752" s="291"/>
      <c r="F3752" s="291"/>
      <c r="G3752" s="291"/>
      <c r="H3752" s="287"/>
      <c r="I3752" s="211"/>
      <c r="J3752" s="211"/>
      <c r="K3752" s="288"/>
    </row>
    <row r="3753" spans="4:11" x14ac:dyDescent="0.2">
      <c r="D3753" s="308"/>
      <c r="E3753" s="291"/>
      <c r="F3753" s="291"/>
      <c r="G3753" s="291"/>
      <c r="H3753" s="287"/>
      <c r="I3753" s="211"/>
      <c r="J3753" s="211"/>
      <c r="K3753" s="288"/>
    </row>
    <row r="3754" spans="4:11" x14ac:dyDescent="0.2">
      <c r="D3754" s="308"/>
      <c r="E3754" s="291"/>
      <c r="F3754" s="291"/>
      <c r="G3754" s="291"/>
      <c r="H3754" s="287"/>
      <c r="I3754" s="211"/>
      <c r="J3754" s="211"/>
      <c r="K3754" s="288"/>
    </row>
    <row r="3755" spans="4:11" x14ac:dyDescent="0.2">
      <c r="D3755" s="308"/>
      <c r="E3755" s="291"/>
      <c r="F3755" s="291"/>
      <c r="G3755" s="291"/>
      <c r="H3755" s="287"/>
      <c r="I3755" s="211"/>
      <c r="J3755" s="211"/>
      <c r="K3755" s="288"/>
    </row>
    <row r="3756" spans="4:11" x14ac:dyDescent="0.2">
      <c r="D3756" s="308"/>
      <c r="E3756" s="291"/>
      <c r="F3756" s="291"/>
      <c r="G3756" s="291"/>
      <c r="H3756" s="287"/>
      <c r="I3756" s="211"/>
      <c r="J3756" s="211"/>
      <c r="K3756" s="288"/>
    </row>
    <row r="3757" spans="4:11" x14ac:dyDescent="0.2">
      <c r="D3757" s="308"/>
      <c r="E3757" s="291"/>
      <c r="F3757" s="291"/>
      <c r="G3757" s="291"/>
      <c r="H3757" s="287"/>
      <c r="I3757" s="211"/>
      <c r="J3757" s="211"/>
      <c r="K3757" s="288"/>
    </row>
    <row r="3758" spans="4:11" x14ac:dyDescent="0.2">
      <c r="D3758" s="308"/>
      <c r="E3758" s="291"/>
      <c r="F3758" s="291"/>
      <c r="G3758" s="291"/>
      <c r="H3758" s="287"/>
      <c r="I3758" s="211"/>
      <c r="J3758" s="211"/>
      <c r="K3758" s="288"/>
    </row>
    <row r="3759" spans="4:11" x14ac:dyDescent="0.2">
      <c r="D3759" s="308"/>
      <c r="E3759" s="291"/>
      <c r="F3759" s="291"/>
      <c r="G3759" s="291"/>
      <c r="H3759" s="287"/>
      <c r="I3759" s="211"/>
      <c r="J3759" s="211"/>
      <c r="K3759" s="288"/>
    </row>
    <row r="3760" spans="4:11" x14ac:dyDescent="0.2">
      <c r="D3760" s="308"/>
      <c r="E3760" s="291"/>
      <c r="F3760" s="291"/>
      <c r="G3760" s="291"/>
      <c r="H3760" s="287"/>
      <c r="I3760" s="211"/>
      <c r="J3760" s="211"/>
      <c r="K3760" s="288"/>
    </row>
    <row r="3761" spans="4:11" x14ac:dyDescent="0.2">
      <c r="D3761" s="308"/>
      <c r="E3761" s="291"/>
      <c r="F3761" s="291"/>
      <c r="G3761" s="291"/>
      <c r="H3761" s="287"/>
      <c r="I3761" s="211"/>
      <c r="J3761" s="211"/>
      <c r="K3761" s="288"/>
    </row>
    <row r="3762" spans="4:11" x14ac:dyDescent="0.2">
      <c r="D3762" s="308"/>
      <c r="E3762" s="291"/>
      <c r="F3762" s="291"/>
      <c r="G3762" s="291"/>
      <c r="H3762" s="287"/>
      <c r="I3762" s="211"/>
      <c r="J3762" s="211"/>
      <c r="K3762" s="288"/>
    </row>
    <row r="3763" spans="4:11" x14ac:dyDescent="0.2">
      <c r="D3763" s="308"/>
      <c r="E3763" s="291"/>
      <c r="F3763" s="291"/>
      <c r="G3763" s="291"/>
      <c r="H3763" s="287"/>
      <c r="I3763" s="211"/>
      <c r="J3763" s="211"/>
      <c r="K3763" s="288"/>
    </row>
    <row r="3764" spans="4:11" x14ac:dyDescent="0.2">
      <c r="D3764" s="308"/>
      <c r="E3764" s="291"/>
      <c r="F3764" s="291"/>
      <c r="G3764" s="291"/>
      <c r="H3764" s="287"/>
      <c r="I3764" s="211"/>
      <c r="J3764" s="211"/>
      <c r="K3764" s="288"/>
    </row>
    <row r="3765" spans="4:11" x14ac:dyDescent="0.2">
      <c r="D3765" s="308"/>
      <c r="E3765" s="291"/>
      <c r="F3765" s="291"/>
      <c r="G3765" s="291"/>
      <c r="H3765" s="287"/>
      <c r="I3765" s="211"/>
      <c r="J3765" s="211"/>
      <c r="K3765" s="288"/>
    </row>
    <row r="3766" spans="4:11" x14ac:dyDescent="0.2">
      <c r="D3766" s="308"/>
      <c r="E3766" s="291"/>
      <c r="F3766" s="291"/>
      <c r="G3766" s="291"/>
      <c r="H3766" s="287"/>
      <c r="I3766" s="211"/>
      <c r="J3766" s="211"/>
      <c r="K3766" s="288"/>
    </row>
    <row r="3767" spans="4:11" x14ac:dyDescent="0.2">
      <c r="D3767" s="308"/>
      <c r="E3767" s="291"/>
      <c r="F3767" s="291"/>
      <c r="G3767" s="291"/>
      <c r="H3767" s="287"/>
      <c r="I3767" s="211"/>
      <c r="J3767" s="211"/>
      <c r="K3767" s="288"/>
    </row>
    <row r="3768" spans="4:11" x14ac:dyDescent="0.2">
      <c r="D3768" s="308"/>
      <c r="E3768" s="291"/>
      <c r="F3768" s="291"/>
      <c r="G3768" s="291"/>
      <c r="H3768" s="287"/>
      <c r="I3768" s="211"/>
      <c r="J3768" s="211"/>
      <c r="K3768" s="288"/>
    </row>
    <row r="3769" spans="4:11" x14ac:dyDescent="0.2">
      <c r="D3769" s="308"/>
      <c r="E3769" s="291"/>
      <c r="F3769" s="291"/>
      <c r="G3769" s="291"/>
      <c r="H3769" s="287"/>
      <c r="I3769" s="211"/>
      <c r="J3769" s="211"/>
      <c r="K3769" s="288"/>
    </row>
    <row r="3770" spans="4:11" x14ac:dyDescent="0.2">
      <c r="D3770" s="308"/>
      <c r="E3770" s="291"/>
      <c r="F3770" s="291"/>
      <c r="G3770" s="291"/>
      <c r="H3770" s="287"/>
      <c r="I3770" s="211"/>
      <c r="J3770" s="211"/>
      <c r="K3770" s="288"/>
    </row>
    <row r="3771" spans="4:11" x14ac:dyDescent="0.2">
      <c r="D3771" s="308"/>
      <c r="E3771" s="291"/>
      <c r="F3771" s="291"/>
      <c r="G3771" s="291"/>
      <c r="H3771" s="287"/>
      <c r="I3771" s="211"/>
      <c r="J3771" s="211"/>
      <c r="K3771" s="288"/>
    </row>
    <row r="3772" spans="4:11" x14ac:dyDescent="0.2">
      <c r="D3772" s="308"/>
      <c r="E3772" s="291"/>
      <c r="F3772" s="291"/>
      <c r="G3772" s="291"/>
      <c r="H3772" s="287"/>
      <c r="I3772" s="211"/>
      <c r="J3772" s="211"/>
      <c r="K3772" s="288"/>
    </row>
    <row r="3773" spans="4:11" x14ac:dyDescent="0.2">
      <c r="D3773" s="308"/>
      <c r="E3773" s="291"/>
      <c r="F3773" s="291"/>
      <c r="G3773" s="291"/>
      <c r="H3773" s="287"/>
      <c r="I3773" s="211"/>
      <c r="J3773" s="211"/>
      <c r="K3773" s="288"/>
    </row>
    <row r="3774" spans="4:11" x14ac:dyDescent="0.2">
      <c r="D3774" s="308"/>
      <c r="E3774" s="291"/>
      <c r="F3774" s="291"/>
      <c r="G3774" s="291"/>
      <c r="H3774" s="287"/>
      <c r="I3774" s="211"/>
      <c r="J3774" s="211"/>
      <c r="K3774" s="288"/>
    </row>
    <row r="3775" spans="4:11" x14ac:dyDescent="0.2">
      <c r="D3775" s="308"/>
      <c r="E3775" s="291"/>
      <c r="F3775" s="291"/>
      <c r="G3775" s="291"/>
      <c r="H3775" s="287"/>
      <c r="I3775" s="211"/>
      <c r="J3775" s="211"/>
      <c r="K3775" s="288"/>
    </row>
    <row r="3776" spans="4:11" x14ac:dyDescent="0.2">
      <c r="D3776" s="308"/>
      <c r="E3776" s="291"/>
      <c r="F3776" s="291"/>
      <c r="G3776" s="291"/>
      <c r="H3776" s="287"/>
      <c r="I3776" s="211"/>
      <c r="J3776" s="211"/>
      <c r="K3776" s="288"/>
    </row>
    <row r="3777" spans="4:11" x14ac:dyDescent="0.2">
      <c r="D3777" s="308"/>
      <c r="E3777" s="291"/>
      <c r="F3777" s="291"/>
      <c r="G3777" s="291"/>
      <c r="H3777" s="287"/>
      <c r="I3777" s="211"/>
      <c r="J3777" s="211"/>
      <c r="K3777" s="288"/>
    </row>
    <row r="3778" spans="4:11" x14ac:dyDescent="0.2">
      <c r="D3778" s="308"/>
      <c r="E3778" s="291"/>
      <c r="F3778" s="291"/>
      <c r="G3778" s="291"/>
      <c r="H3778" s="287"/>
      <c r="I3778" s="211"/>
      <c r="J3778" s="211"/>
      <c r="K3778" s="288"/>
    </row>
    <row r="3779" spans="4:11" x14ac:dyDescent="0.2">
      <c r="D3779" s="308"/>
      <c r="E3779" s="291"/>
      <c r="F3779" s="291"/>
      <c r="G3779" s="291"/>
      <c r="H3779" s="287"/>
      <c r="I3779" s="211"/>
      <c r="J3779" s="211"/>
      <c r="K3779" s="288"/>
    </row>
    <row r="3780" spans="4:11" x14ac:dyDescent="0.2">
      <c r="D3780" s="308"/>
      <c r="E3780" s="291"/>
      <c r="F3780" s="291"/>
      <c r="G3780" s="291"/>
      <c r="H3780" s="287"/>
      <c r="I3780" s="211"/>
      <c r="J3780" s="211"/>
      <c r="K3780" s="288"/>
    </row>
    <row r="3781" spans="4:11" x14ac:dyDescent="0.2">
      <c r="D3781" s="308"/>
      <c r="E3781" s="291"/>
      <c r="F3781" s="291"/>
      <c r="G3781" s="291"/>
      <c r="H3781" s="287"/>
      <c r="I3781" s="211"/>
      <c r="J3781" s="211"/>
      <c r="K3781" s="288"/>
    </row>
    <row r="3782" spans="4:11" x14ac:dyDescent="0.2">
      <c r="D3782" s="308"/>
      <c r="E3782" s="291"/>
      <c r="F3782" s="291"/>
      <c r="G3782" s="291"/>
      <c r="H3782" s="287"/>
      <c r="I3782" s="211"/>
      <c r="J3782" s="211"/>
      <c r="K3782" s="288"/>
    </row>
    <row r="3783" spans="4:11" x14ac:dyDescent="0.2">
      <c r="D3783" s="308"/>
      <c r="E3783" s="291"/>
      <c r="F3783" s="291"/>
      <c r="G3783" s="291"/>
      <c r="H3783" s="287"/>
      <c r="I3783" s="211"/>
      <c r="J3783" s="211"/>
      <c r="K3783" s="288"/>
    </row>
    <row r="3784" spans="4:11" x14ac:dyDescent="0.2">
      <c r="D3784" s="308"/>
      <c r="E3784" s="291"/>
      <c r="F3784" s="291"/>
      <c r="G3784" s="291"/>
      <c r="H3784" s="287"/>
      <c r="I3784" s="211"/>
      <c r="J3784" s="211"/>
      <c r="K3784" s="288"/>
    </row>
    <row r="3785" spans="4:11" x14ac:dyDescent="0.2">
      <c r="D3785" s="308"/>
      <c r="E3785" s="291"/>
      <c r="F3785" s="291"/>
      <c r="G3785" s="291"/>
      <c r="H3785" s="287"/>
      <c r="I3785" s="211"/>
      <c r="J3785" s="211"/>
      <c r="K3785" s="288"/>
    </row>
    <row r="3786" spans="4:11" x14ac:dyDescent="0.2">
      <c r="D3786" s="308"/>
      <c r="E3786" s="291"/>
      <c r="F3786" s="291"/>
      <c r="G3786" s="291"/>
      <c r="H3786" s="287"/>
      <c r="I3786" s="211"/>
      <c r="J3786" s="211"/>
      <c r="K3786" s="288"/>
    </row>
    <row r="3787" spans="4:11" x14ac:dyDescent="0.2">
      <c r="D3787" s="308"/>
      <c r="E3787" s="291"/>
      <c r="F3787" s="291"/>
      <c r="G3787" s="291"/>
      <c r="H3787" s="287"/>
      <c r="I3787" s="211"/>
      <c r="J3787" s="211"/>
      <c r="K3787" s="288"/>
    </row>
    <row r="3788" spans="4:11" x14ac:dyDescent="0.2">
      <c r="D3788" s="308"/>
      <c r="E3788" s="291"/>
      <c r="F3788" s="291"/>
      <c r="G3788" s="291"/>
      <c r="H3788" s="287"/>
      <c r="I3788" s="211"/>
      <c r="J3788" s="211"/>
      <c r="K3788" s="288"/>
    </row>
    <row r="3789" spans="4:11" x14ac:dyDescent="0.2">
      <c r="D3789" s="308"/>
      <c r="E3789" s="291"/>
      <c r="F3789" s="291"/>
      <c r="G3789" s="291"/>
      <c r="H3789" s="287"/>
      <c r="I3789" s="211"/>
      <c r="J3789" s="211"/>
      <c r="K3789" s="288"/>
    </row>
    <row r="3790" spans="4:11" x14ac:dyDescent="0.2">
      <c r="D3790" s="308"/>
      <c r="E3790" s="291"/>
      <c r="F3790" s="291"/>
      <c r="G3790" s="291"/>
      <c r="H3790" s="287"/>
      <c r="I3790" s="211"/>
      <c r="J3790" s="211"/>
      <c r="K3790" s="288"/>
    </row>
    <row r="3791" spans="4:11" x14ac:dyDescent="0.2">
      <c r="D3791" s="308"/>
      <c r="E3791" s="291"/>
      <c r="F3791" s="291"/>
      <c r="G3791" s="291"/>
      <c r="H3791" s="287"/>
      <c r="I3791" s="211"/>
      <c r="J3791" s="211"/>
      <c r="K3791" s="288"/>
    </row>
    <row r="3792" spans="4:11" x14ac:dyDescent="0.2">
      <c r="D3792" s="308"/>
      <c r="E3792" s="291"/>
      <c r="F3792" s="291"/>
      <c r="G3792" s="291"/>
      <c r="H3792" s="287"/>
      <c r="I3792" s="211"/>
      <c r="J3792" s="211"/>
      <c r="K3792" s="288"/>
    </row>
    <row r="3793" spans="4:11" x14ac:dyDescent="0.2">
      <c r="D3793" s="308"/>
      <c r="E3793" s="291"/>
      <c r="F3793" s="291"/>
      <c r="G3793" s="291"/>
      <c r="H3793" s="287"/>
      <c r="I3793" s="211"/>
      <c r="J3793" s="211"/>
      <c r="K3793" s="288"/>
    </row>
    <row r="3794" spans="4:11" x14ac:dyDescent="0.2">
      <c r="D3794" s="308"/>
      <c r="E3794" s="291"/>
      <c r="F3794" s="291"/>
      <c r="G3794" s="291"/>
      <c r="H3794" s="287"/>
      <c r="I3794" s="211"/>
      <c r="J3794" s="211"/>
      <c r="K3794" s="288"/>
    </row>
    <row r="3795" spans="4:11" x14ac:dyDescent="0.2">
      <c r="D3795" s="308"/>
      <c r="E3795" s="291"/>
      <c r="F3795" s="291"/>
      <c r="G3795" s="291"/>
      <c r="H3795" s="287"/>
      <c r="I3795" s="211"/>
      <c r="J3795" s="211"/>
      <c r="K3795" s="288"/>
    </row>
    <row r="3796" spans="4:11" x14ac:dyDescent="0.2">
      <c r="D3796" s="308"/>
      <c r="E3796" s="291"/>
      <c r="F3796" s="291"/>
      <c r="G3796" s="291"/>
      <c r="H3796" s="287"/>
      <c r="I3796" s="211"/>
      <c r="J3796" s="211"/>
      <c r="K3796" s="288"/>
    </row>
    <row r="3797" spans="4:11" x14ac:dyDescent="0.2">
      <c r="D3797" s="308"/>
      <c r="E3797" s="291"/>
      <c r="F3797" s="291"/>
      <c r="G3797" s="291"/>
      <c r="H3797" s="287"/>
      <c r="I3797" s="211"/>
      <c r="J3797" s="211"/>
      <c r="K3797" s="288"/>
    </row>
    <row r="3798" spans="4:11" x14ac:dyDescent="0.2">
      <c r="D3798" s="308"/>
      <c r="E3798" s="291"/>
      <c r="F3798" s="291"/>
      <c r="G3798" s="291"/>
      <c r="H3798" s="287"/>
      <c r="I3798" s="211"/>
      <c r="J3798" s="211"/>
      <c r="K3798" s="288"/>
    </row>
    <row r="3799" spans="4:11" x14ac:dyDescent="0.2">
      <c r="D3799" s="308"/>
      <c r="E3799" s="291"/>
      <c r="F3799" s="291"/>
      <c r="G3799" s="291"/>
      <c r="H3799" s="287"/>
      <c r="I3799" s="211"/>
      <c r="J3799" s="211"/>
      <c r="K3799" s="288"/>
    </row>
    <row r="3800" spans="4:11" x14ac:dyDescent="0.2">
      <c r="D3800" s="308"/>
      <c r="E3800" s="291"/>
      <c r="F3800" s="291"/>
      <c r="G3800" s="291"/>
      <c r="H3800" s="287"/>
      <c r="I3800" s="211"/>
      <c r="J3800" s="211"/>
      <c r="K3800" s="288"/>
    </row>
    <row r="3801" spans="4:11" x14ac:dyDescent="0.2">
      <c r="D3801" s="308"/>
      <c r="E3801" s="291"/>
      <c r="F3801" s="291"/>
      <c r="G3801" s="291"/>
      <c r="H3801" s="287"/>
      <c r="I3801" s="211"/>
      <c r="J3801" s="211"/>
      <c r="K3801" s="288"/>
    </row>
    <row r="3802" spans="4:11" x14ac:dyDescent="0.2">
      <c r="D3802" s="308"/>
      <c r="E3802" s="291"/>
      <c r="F3802" s="291"/>
      <c r="G3802" s="291"/>
      <c r="H3802" s="287"/>
      <c r="I3802" s="211"/>
      <c r="J3802" s="211"/>
      <c r="K3802" s="288"/>
    </row>
    <row r="3803" spans="4:11" x14ac:dyDescent="0.2">
      <c r="D3803" s="308"/>
      <c r="E3803" s="291"/>
      <c r="F3803" s="291"/>
      <c r="G3803" s="291"/>
      <c r="H3803" s="287"/>
      <c r="I3803" s="211"/>
      <c r="J3803" s="211"/>
      <c r="K3803" s="288"/>
    </row>
    <row r="3804" spans="4:11" x14ac:dyDescent="0.2">
      <c r="D3804" s="308"/>
      <c r="E3804" s="291"/>
      <c r="F3804" s="291"/>
      <c r="G3804" s="291"/>
      <c r="H3804" s="287"/>
      <c r="I3804" s="211"/>
      <c r="J3804" s="211"/>
      <c r="K3804" s="288"/>
    </row>
    <row r="3805" spans="4:11" x14ac:dyDescent="0.2">
      <c r="D3805" s="308"/>
      <c r="E3805" s="291"/>
      <c r="F3805" s="291"/>
      <c r="G3805" s="291"/>
      <c r="H3805" s="287"/>
      <c r="I3805" s="211"/>
      <c r="J3805" s="211"/>
      <c r="K3805" s="288"/>
    </row>
    <row r="3806" spans="4:11" x14ac:dyDescent="0.2">
      <c r="D3806" s="308"/>
      <c r="E3806" s="291"/>
      <c r="F3806" s="291"/>
      <c r="G3806" s="291"/>
      <c r="H3806" s="287"/>
      <c r="I3806" s="211"/>
      <c r="J3806" s="211"/>
      <c r="K3806" s="288"/>
    </row>
    <row r="3807" spans="4:11" x14ac:dyDescent="0.2">
      <c r="D3807" s="308"/>
      <c r="E3807" s="291"/>
      <c r="F3807" s="291"/>
      <c r="G3807" s="291"/>
      <c r="H3807" s="287"/>
      <c r="I3807" s="211"/>
      <c r="J3807" s="211"/>
      <c r="K3807" s="288"/>
    </row>
    <row r="3808" spans="4:11" x14ac:dyDescent="0.2">
      <c r="D3808" s="308"/>
      <c r="E3808" s="291"/>
      <c r="F3808" s="291"/>
      <c r="G3808" s="291"/>
      <c r="H3808" s="287"/>
      <c r="I3808" s="211"/>
      <c r="J3808" s="211"/>
      <c r="K3808" s="288"/>
    </row>
    <row r="3809" spans="4:11" x14ac:dyDescent="0.2">
      <c r="D3809" s="308"/>
      <c r="E3809" s="291"/>
      <c r="F3809" s="291"/>
      <c r="G3809" s="291"/>
      <c r="H3809" s="287"/>
      <c r="I3809" s="211"/>
      <c r="J3809" s="211"/>
      <c r="K3809" s="288"/>
    </row>
    <row r="3810" spans="4:11" x14ac:dyDescent="0.2">
      <c r="D3810" s="308"/>
      <c r="E3810" s="291"/>
      <c r="F3810" s="291"/>
      <c r="G3810" s="291"/>
      <c r="H3810" s="287"/>
      <c r="I3810" s="211"/>
      <c r="J3810" s="211"/>
      <c r="K3810" s="288"/>
    </row>
    <row r="3811" spans="4:11" x14ac:dyDescent="0.2">
      <c r="D3811" s="308"/>
      <c r="E3811" s="291"/>
      <c r="F3811" s="291"/>
      <c r="G3811" s="291"/>
      <c r="H3811" s="287"/>
      <c r="I3811" s="211"/>
      <c r="J3811" s="211"/>
      <c r="K3811" s="288"/>
    </row>
    <row r="3812" spans="4:11" x14ac:dyDescent="0.2">
      <c r="D3812" s="308"/>
      <c r="E3812" s="291"/>
      <c r="F3812" s="291"/>
      <c r="G3812" s="291"/>
      <c r="H3812" s="287"/>
      <c r="I3812" s="211"/>
      <c r="J3812" s="211"/>
      <c r="K3812" s="288"/>
    </row>
    <row r="3813" spans="4:11" x14ac:dyDescent="0.2">
      <c r="D3813" s="308"/>
      <c r="E3813" s="291"/>
      <c r="F3813" s="291"/>
      <c r="G3813" s="291"/>
      <c r="H3813" s="287"/>
      <c r="I3813" s="211"/>
      <c r="J3813" s="211"/>
      <c r="K3813" s="288"/>
    </row>
    <row r="3814" spans="4:11" x14ac:dyDescent="0.2">
      <c r="D3814" s="308"/>
      <c r="E3814" s="291"/>
      <c r="F3814" s="291"/>
      <c r="G3814" s="291"/>
      <c r="H3814" s="287"/>
      <c r="I3814" s="211"/>
      <c r="J3814" s="211"/>
      <c r="K3814" s="288"/>
    </row>
    <row r="3815" spans="4:11" x14ac:dyDescent="0.2">
      <c r="D3815" s="308"/>
      <c r="E3815" s="291"/>
      <c r="F3815" s="291"/>
      <c r="G3815" s="291"/>
      <c r="H3815" s="287"/>
      <c r="I3815" s="211"/>
      <c r="J3815" s="211"/>
      <c r="K3815" s="288"/>
    </row>
    <row r="3816" spans="4:11" x14ac:dyDescent="0.2">
      <c r="D3816" s="308"/>
      <c r="E3816" s="291"/>
      <c r="F3816" s="291"/>
      <c r="G3816" s="291"/>
      <c r="H3816" s="287"/>
      <c r="I3816" s="211"/>
      <c r="J3816" s="211"/>
      <c r="K3816" s="288"/>
    </row>
    <row r="3817" spans="4:11" x14ac:dyDescent="0.2">
      <c r="D3817" s="308"/>
      <c r="E3817" s="291"/>
      <c r="F3817" s="291"/>
      <c r="G3817" s="291"/>
      <c r="H3817" s="287"/>
      <c r="I3817" s="211"/>
      <c r="J3817" s="211"/>
      <c r="K3817" s="288"/>
    </row>
    <row r="3818" spans="4:11" x14ac:dyDescent="0.2">
      <c r="D3818" s="308"/>
      <c r="E3818" s="291"/>
      <c r="F3818" s="291"/>
      <c r="G3818" s="291"/>
      <c r="H3818" s="287"/>
      <c r="I3818" s="211"/>
      <c r="J3818" s="211"/>
      <c r="K3818" s="288"/>
    </row>
    <row r="3819" spans="4:11" x14ac:dyDescent="0.2">
      <c r="D3819" s="308"/>
      <c r="E3819" s="291"/>
      <c r="F3819" s="291"/>
      <c r="G3819" s="291"/>
      <c r="H3819" s="287"/>
      <c r="I3819" s="211"/>
      <c r="J3819" s="211"/>
      <c r="K3819" s="288"/>
    </row>
    <row r="3820" spans="4:11" x14ac:dyDescent="0.2">
      <c r="D3820" s="308"/>
      <c r="E3820" s="291"/>
      <c r="F3820" s="291"/>
      <c r="G3820" s="291"/>
      <c r="H3820" s="287"/>
      <c r="I3820" s="211"/>
      <c r="J3820" s="211"/>
      <c r="K3820" s="288"/>
    </row>
    <row r="3821" spans="4:11" x14ac:dyDescent="0.2">
      <c r="D3821" s="308"/>
      <c r="E3821" s="291"/>
      <c r="F3821" s="291"/>
      <c r="G3821" s="291"/>
      <c r="H3821" s="287"/>
      <c r="I3821" s="211"/>
      <c r="J3821" s="211"/>
      <c r="K3821" s="288"/>
    </row>
    <row r="3822" spans="4:11" x14ac:dyDescent="0.2">
      <c r="D3822" s="308"/>
      <c r="E3822" s="291"/>
      <c r="F3822" s="291"/>
      <c r="G3822" s="291"/>
      <c r="H3822" s="287"/>
      <c r="I3822" s="211"/>
      <c r="J3822" s="211"/>
      <c r="K3822" s="288"/>
    </row>
    <row r="3823" spans="4:11" x14ac:dyDescent="0.2">
      <c r="D3823" s="308"/>
      <c r="E3823" s="291"/>
      <c r="F3823" s="291"/>
      <c r="G3823" s="291"/>
      <c r="H3823" s="287"/>
      <c r="I3823" s="211"/>
      <c r="J3823" s="211"/>
      <c r="K3823" s="288"/>
    </row>
    <row r="3824" spans="4:11" x14ac:dyDescent="0.2">
      <c r="D3824" s="308"/>
      <c r="E3824" s="291"/>
      <c r="F3824" s="291"/>
      <c r="G3824" s="291"/>
      <c r="H3824" s="287"/>
      <c r="I3824" s="211"/>
      <c r="J3824" s="211"/>
      <c r="K3824" s="288"/>
    </row>
    <row r="3825" spans="4:11" x14ac:dyDescent="0.2">
      <c r="D3825" s="308"/>
      <c r="E3825" s="291"/>
      <c r="F3825" s="291"/>
      <c r="G3825" s="291"/>
      <c r="H3825" s="287"/>
      <c r="I3825" s="211"/>
      <c r="J3825" s="211"/>
      <c r="K3825" s="288"/>
    </row>
    <row r="3826" spans="4:11" x14ac:dyDescent="0.2">
      <c r="D3826" s="308"/>
      <c r="E3826" s="291"/>
      <c r="F3826" s="291"/>
      <c r="G3826" s="291"/>
      <c r="H3826" s="287"/>
      <c r="I3826" s="211"/>
      <c r="J3826" s="211"/>
      <c r="K3826" s="288"/>
    </row>
    <row r="3827" spans="4:11" x14ac:dyDescent="0.2">
      <c r="D3827" s="308"/>
      <c r="E3827" s="291"/>
      <c r="F3827" s="291"/>
      <c r="G3827" s="291"/>
      <c r="H3827" s="287"/>
      <c r="I3827" s="211"/>
      <c r="J3827" s="211"/>
      <c r="K3827" s="288"/>
    </row>
    <row r="3828" spans="4:11" x14ac:dyDescent="0.2">
      <c r="D3828" s="308"/>
      <c r="E3828" s="291"/>
      <c r="F3828" s="291"/>
      <c r="G3828" s="291"/>
      <c r="H3828" s="287"/>
      <c r="I3828" s="211"/>
      <c r="J3828" s="211"/>
      <c r="K3828" s="288"/>
    </row>
    <row r="3829" spans="4:11" x14ac:dyDescent="0.2">
      <c r="D3829" s="308"/>
      <c r="E3829" s="291"/>
      <c r="F3829" s="291"/>
      <c r="G3829" s="291"/>
      <c r="H3829" s="287"/>
      <c r="I3829" s="211"/>
      <c r="J3829" s="211"/>
      <c r="K3829" s="288"/>
    </row>
    <row r="3830" spans="4:11" x14ac:dyDescent="0.2">
      <c r="D3830" s="308"/>
      <c r="E3830" s="291"/>
      <c r="F3830" s="291"/>
      <c r="G3830" s="291"/>
      <c r="H3830" s="287"/>
      <c r="I3830" s="211"/>
      <c r="J3830" s="211"/>
      <c r="K3830" s="288"/>
    </row>
    <row r="3831" spans="4:11" x14ac:dyDescent="0.2">
      <c r="D3831" s="308"/>
      <c r="E3831" s="291"/>
      <c r="F3831" s="291"/>
      <c r="G3831" s="291"/>
      <c r="H3831" s="287"/>
      <c r="I3831" s="211"/>
      <c r="J3831" s="211"/>
      <c r="K3831" s="288"/>
    </row>
    <row r="3832" spans="4:11" x14ac:dyDescent="0.2">
      <c r="D3832" s="308"/>
      <c r="E3832" s="291"/>
      <c r="F3832" s="291"/>
      <c r="G3832" s="291"/>
      <c r="H3832" s="287"/>
      <c r="I3832" s="211"/>
      <c r="J3832" s="211"/>
      <c r="K3832" s="288"/>
    </row>
    <row r="3833" spans="4:11" x14ac:dyDescent="0.2">
      <c r="D3833" s="308"/>
      <c r="E3833" s="291"/>
      <c r="F3833" s="291"/>
      <c r="G3833" s="291"/>
      <c r="H3833" s="287"/>
      <c r="I3833" s="211"/>
      <c r="J3833" s="211"/>
      <c r="K3833" s="288"/>
    </row>
    <row r="3834" spans="4:11" x14ac:dyDescent="0.2">
      <c r="D3834" s="308"/>
      <c r="E3834" s="291"/>
      <c r="F3834" s="291"/>
      <c r="G3834" s="291"/>
      <c r="H3834" s="287"/>
      <c r="I3834" s="211"/>
      <c r="J3834" s="211"/>
      <c r="K3834" s="288"/>
    </row>
    <row r="3835" spans="4:11" x14ac:dyDescent="0.2">
      <c r="D3835" s="308"/>
      <c r="E3835" s="291"/>
      <c r="F3835" s="291"/>
      <c r="G3835" s="291"/>
      <c r="H3835" s="287"/>
      <c r="I3835" s="211"/>
      <c r="J3835" s="211"/>
      <c r="K3835" s="288"/>
    </row>
    <row r="3836" spans="4:11" x14ac:dyDescent="0.2">
      <c r="D3836" s="308"/>
      <c r="E3836" s="291"/>
      <c r="F3836" s="291"/>
      <c r="G3836" s="291"/>
      <c r="H3836" s="287"/>
      <c r="I3836" s="211"/>
      <c r="J3836" s="211"/>
      <c r="K3836" s="288"/>
    </row>
    <row r="3837" spans="4:11" x14ac:dyDescent="0.2">
      <c r="D3837" s="308"/>
      <c r="E3837" s="291"/>
      <c r="F3837" s="291"/>
      <c r="G3837" s="291"/>
      <c r="H3837" s="287"/>
      <c r="I3837" s="211"/>
      <c r="J3837" s="211"/>
      <c r="K3837" s="288"/>
    </row>
    <row r="3838" spans="4:11" x14ac:dyDescent="0.2">
      <c r="D3838" s="308"/>
      <c r="E3838" s="291"/>
      <c r="F3838" s="291"/>
      <c r="G3838" s="291"/>
      <c r="H3838" s="287"/>
      <c r="I3838" s="211"/>
      <c r="J3838" s="211"/>
      <c r="K3838" s="288"/>
    </row>
    <row r="3839" spans="4:11" x14ac:dyDescent="0.2">
      <c r="D3839" s="308"/>
      <c r="E3839" s="291"/>
      <c r="F3839" s="291"/>
      <c r="G3839" s="291"/>
      <c r="H3839" s="287"/>
      <c r="I3839" s="211"/>
      <c r="J3839" s="211"/>
      <c r="K3839" s="288"/>
    </row>
    <row r="3840" spans="4:11" x14ac:dyDescent="0.2">
      <c r="D3840" s="308"/>
      <c r="E3840" s="291"/>
      <c r="F3840" s="291"/>
      <c r="G3840" s="291"/>
      <c r="H3840" s="287"/>
      <c r="I3840" s="211"/>
      <c r="J3840" s="211"/>
      <c r="K3840" s="288"/>
    </row>
    <row r="3841" spans="4:11" x14ac:dyDescent="0.2">
      <c r="D3841" s="308"/>
      <c r="E3841" s="291"/>
      <c r="F3841" s="291"/>
      <c r="G3841" s="291"/>
      <c r="H3841" s="287"/>
      <c r="I3841" s="211"/>
      <c r="J3841" s="211"/>
      <c r="K3841" s="288"/>
    </row>
    <row r="3842" spans="4:11" x14ac:dyDescent="0.2">
      <c r="D3842" s="308"/>
      <c r="E3842" s="291"/>
      <c r="F3842" s="291"/>
      <c r="G3842" s="291"/>
      <c r="H3842" s="287"/>
      <c r="I3842" s="211"/>
      <c r="J3842" s="211"/>
      <c r="K3842" s="288"/>
    </row>
    <row r="3843" spans="4:11" x14ac:dyDescent="0.2">
      <c r="D3843" s="308"/>
      <c r="E3843" s="291"/>
      <c r="F3843" s="291"/>
      <c r="G3843" s="291"/>
      <c r="H3843" s="287"/>
      <c r="I3843" s="211"/>
      <c r="J3843" s="211"/>
      <c r="K3843" s="288"/>
    </row>
    <row r="3844" spans="4:11" x14ac:dyDescent="0.2">
      <c r="D3844" s="308"/>
      <c r="E3844" s="291"/>
      <c r="F3844" s="291"/>
      <c r="G3844" s="291"/>
      <c r="H3844" s="287"/>
      <c r="I3844" s="211"/>
      <c r="J3844" s="211"/>
      <c r="K3844" s="288"/>
    </row>
    <row r="3845" spans="4:11" x14ac:dyDescent="0.2">
      <c r="D3845" s="308"/>
      <c r="E3845" s="291"/>
      <c r="F3845" s="291"/>
      <c r="G3845" s="291"/>
      <c r="H3845" s="287"/>
      <c r="I3845" s="211"/>
      <c r="J3845" s="211"/>
      <c r="K3845" s="288"/>
    </row>
    <row r="3846" spans="4:11" x14ac:dyDescent="0.2">
      <c r="D3846" s="308"/>
      <c r="E3846" s="291"/>
      <c r="F3846" s="291"/>
      <c r="G3846" s="291"/>
      <c r="H3846" s="287"/>
      <c r="I3846" s="211"/>
      <c r="J3846" s="211"/>
      <c r="K3846" s="288"/>
    </row>
    <row r="3847" spans="4:11" x14ac:dyDescent="0.2">
      <c r="D3847" s="308"/>
      <c r="E3847" s="291"/>
      <c r="F3847" s="291"/>
      <c r="G3847" s="291"/>
      <c r="H3847" s="287"/>
      <c r="I3847" s="211"/>
      <c r="J3847" s="211"/>
      <c r="K3847" s="288"/>
    </row>
    <row r="3848" spans="4:11" x14ac:dyDescent="0.2">
      <c r="D3848" s="308"/>
      <c r="E3848" s="291"/>
      <c r="F3848" s="291"/>
      <c r="G3848" s="291"/>
      <c r="H3848" s="287"/>
      <c r="I3848" s="211"/>
      <c r="J3848" s="211"/>
      <c r="K3848" s="288"/>
    </row>
    <row r="3849" spans="4:11" x14ac:dyDescent="0.2">
      <c r="D3849" s="308"/>
      <c r="E3849" s="291"/>
      <c r="F3849" s="291"/>
      <c r="G3849" s="291"/>
      <c r="H3849" s="287"/>
      <c r="I3849" s="211"/>
      <c r="J3849" s="211"/>
      <c r="K3849" s="288"/>
    </row>
    <row r="3850" spans="4:11" x14ac:dyDescent="0.2">
      <c r="D3850" s="308"/>
      <c r="E3850" s="291"/>
      <c r="F3850" s="291"/>
      <c r="G3850" s="291"/>
      <c r="H3850" s="287"/>
      <c r="I3850" s="211"/>
      <c r="J3850" s="211"/>
      <c r="K3850" s="288"/>
    </row>
    <row r="3851" spans="4:11" x14ac:dyDescent="0.2">
      <c r="D3851" s="308"/>
      <c r="E3851" s="291"/>
      <c r="F3851" s="291"/>
      <c r="G3851" s="291"/>
      <c r="H3851" s="287"/>
      <c r="I3851" s="211"/>
      <c r="J3851" s="211"/>
      <c r="K3851" s="288"/>
    </row>
    <row r="3852" spans="4:11" x14ac:dyDescent="0.2">
      <c r="D3852" s="308"/>
      <c r="E3852" s="291"/>
      <c r="F3852" s="291"/>
      <c r="G3852" s="291"/>
      <c r="H3852" s="287"/>
      <c r="I3852" s="211"/>
      <c r="J3852" s="211"/>
      <c r="K3852" s="288"/>
    </row>
    <row r="3853" spans="4:11" x14ac:dyDescent="0.2">
      <c r="D3853" s="308"/>
      <c r="E3853" s="291"/>
      <c r="F3853" s="291"/>
      <c r="G3853" s="291"/>
      <c r="H3853" s="287"/>
      <c r="I3853" s="211"/>
      <c r="J3853" s="211"/>
      <c r="K3853" s="288"/>
    </row>
    <row r="3854" spans="4:11" x14ac:dyDescent="0.2">
      <c r="D3854" s="308"/>
      <c r="E3854" s="291"/>
      <c r="F3854" s="291"/>
      <c r="G3854" s="291"/>
      <c r="H3854" s="287"/>
      <c r="I3854" s="211"/>
      <c r="J3854" s="211"/>
      <c r="K3854" s="288"/>
    </row>
    <row r="3855" spans="4:11" x14ac:dyDescent="0.2">
      <c r="D3855" s="308"/>
      <c r="E3855" s="291"/>
      <c r="F3855" s="291"/>
      <c r="G3855" s="291"/>
      <c r="H3855" s="287"/>
      <c r="I3855" s="211"/>
      <c r="J3855" s="211"/>
      <c r="K3855" s="288"/>
    </row>
    <row r="3856" spans="4:11" x14ac:dyDescent="0.2">
      <c r="D3856" s="308"/>
      <c r="E3856" s="291"/>
      <c r="F3856" s="291"/>
      <c r="G3856" s="291"/>
      <c r="H3856" s="287"/>
      <c r="I3856" s="211"/>
      <c r="J3856" s="211"/>
      <c r="K3856" s="288"/>
    </row>
    <row r="3857" spans="4:11" x14ac:dyDescent="0.2">
      <c r="D3857" s="308"/>
      <c r="E3857" s="291"/>
      <c r="F3857" s="291"/>
      <c r="G3857" s="291"/>
      <c r="H3857" s="287"/>
      <c r="I3857" s="211"/>
      <c r="J3857" s="211"/>
      <c r="K3857" s="288"/>
    </row>
    <row r="3858" spans="4:11" x14ac:dyDescent="0.2">
      <c r="D3858" s="308"/>
      <c r="E3858" s="291"/>
      <c r="F3858" s="291"/>
      <c r="G3858" s="291"/>
      <c r="H3858" s="287"/>
      <c r="I3858" s="211"/>
      <c r="J3858" s="211"/>
      <c r="K3858" s="288"/>
    </row>
    <row r="3859" spans="4:11" x14ac:dyDescent="0.2">
      <c r="D3859" s="308"/>
      <c r="E3859" s="291"/>
      <c r="F3859" s="291"/>
      <c r="G3859" s="291"/>
      <c r="H3859" s="287"/>
      <c r="I3859" s="211"/>
      <c r="J3859" s="211"/>
      <c r="K3859" s="288"/>
    </row>
    <row r="3860" spans="4:11" x14ac:dyDescent="0.2">
      <c r="D3860" s="308"/>
      <c r="E3860" s="291"/>
      <c r="F3860" s="291"/>
      <c r="G3860" s="291"/>
      <c r="H3860" s="287"/>
      <c r="I3860" s="211"/>
      <c r="J3860" s="211"/>
      <c r="K3860" s="288"/>
    </row>
    <row r="3861" spans="4:11" x14ac:dyDescent="0.2">
      <c r="D3861" s="308"/>
      <c r="E3861" s="291"/>
      <c r="F3861" s="291"/>
      <c r="G3861" s="291"/>
      <c r="H3861" s="287"/>
      <c r="I3861" s="211"/>
      <c r="J3861" s="211"/>
      <c r="K3861" s="288"/>
    </row>
    <row r="3862" spans="4:11" x14ac:dyDescent="0.2">
      <c r="D3862" s="308"/>
      <c r="E3862" s="291"/>
      <c r="F3862" s="291"/>
      <c r="G3862" s="291"/>
      <c r="H3862" s="287"/>
      <c r="I3862" s="211"/>
      <c r="J3862" s="211"/>
      <c r="K3862" s="288"/>
    </row>
    <row r="3863" spans="4:11" x14ac:dyDescent="0.2">
      <c r="D3863" s="308"/>
      <c r="E3863" s="291"/>
      <c r="F3863" s="291"/>
      <c r="G3863" s="291"/>
      <c r="H3863" s="287"/>
      <c r="I3863" s="211"/>
      <c r="J3863" s="211"/>
      <c r="K3863" s="288"/>
    </row>
    <row r="3864" spans="4:11" x14ac:dyDescent="0.2">
      <c r="D3864" s="308"/>
      <c r="E3864" s="291"/>
      <c r="F3864" s="291"/>
      <c r="G3864" s="291"/>
      <c r="H3864" s="287"/>
      <c r="I3864" s="211"/>
      <c r="J3864" s="211"/>
      <c r="K3864" s="288"/>
    </row>
    <row r="3865" spans="4:11" x14ac:dyDescent="0.2">
      <c r="D3865" s="308"/>
      <c r="E3865" s="291"/>
      <c r="F3865" s="291"/>
      <c r="G3865" s="291"/>
      <c r="H3865" s="287"/>
      <c r="I3865" s="211"/>
      <c r="J3865" s="211"/>
      <c r="K3865" s="288"/>
    </row>
    <row r="3866" spans="4:11" x14ac:dyDescent="0.2">
      <c r="D3866" s="308"/>
      <c r="E3866" s="291"/>
      <c r="F3866" s="291"/>
      <c r="G3866" s="291"/>
      <c r="H3866" s="287"/>
      <c r="I3866" s="211"/>
      <c r="J3866" s="211"/>
      <c r="K3866" s="288"/>
    </row>
    <row r="3867" spans="4:11" x14ac:dyDescent="0.2">
      <c r="D3867" s="308"/>
      <c r="E3867" s="291"/>
      <c r="F3867" s="291"/>
      <c r="G3867" s="291"/>
      <c r="H3867" s="287"/>
      <c r="I3867" s="211"/>
      <c r="J3867" s="211"/>
      <c r="K3867" s="288"/>
    </row>
    <row r="3868" spans="4:11" x14ac:dyDescent="0.2">
      <c r="D3868" s="308"/>
      <c r="E3868" s="291"/>
      <c r="F3868" s="291"/>
      <c r="G3868" s="291"/>
      <c r="H3868" s="287"/>
      <c r="I3868" s="211"/>
      <c r="J3868" s="211"/>
      <c r="K3868" s="288"/>
    </row>
    <row r="3869" spans="4:11" x14ac:dyDescent="0.2">
      <c r="D3869" s="308"/>
      <c r="E3869" s="291"/>
      <c r="F3869" s="291"/>
      <c r="G3869" s="291"/>
      <c r="H3869" s="287"/>
      <c r="I3869" s="211"/>
      <c r="J3869" s="211"/>
      <c r="K3869" s="288"/>
    </row>
    <row r="3870" spans="4:11" x14ac:dyDescent="0.2">
      <c r="D3870" s="308"/>
      <c r="E3870" s="291"/>
      <c r="F3870" s="291"/>
      <c r="G3870" s="291"/>
      <c r="H3870" s="287"/>
      <c r="I3870" s="211"/>
      <c r="J3870" s="211"/>
      <c r="K3870" s="288"/>
    </row>
    <row r="3871" spans="4:11" x14ac:dyDescent="0.2">
      <c r="D3871" s="308"/>
      <c r="E3871" s="291"/>
      <c r="F3871" s="291"/>
      <c r="G3871" s="291"/>
      <c r="H3871" s="287"/>
      <c r="I3871" s="211"/>
      <c r="J3871" s="211"/>
      <c r="K3871" s="288"/>
    </row>
    <row r="3872" spans="4:11" x14ac:dyDescent="0.2">
      <c r="D3872" s="308"/>
      <c r="E3872" s="291"/>
      <c r="F3872" s="291"/>
      <c r="G3872" s="291"/>
      <c r="H3872" s="287"/>
      <c r="I3872" s="211"/>
      <c r="J3872" s="211"/>
      <c r="K3872" s="288"/>
    </row>
    <row r="3873" spans="4:11" x14ac:dyDescent="0.2">
      <c r="D3873" s="308"/>
      <c r="E3873" s="291"/>
      <c r="F3873" s="291"/>
      <c r="G3873" s="291"/>
      <c r="H3873" s="287"/>
      <c r="I3873" s="211"/>
      <c r="J3873" s="211"/>
      <c r="K3873" s="288"/>
    </row>
    <row r="3874" spans="4:11" x14ac:dyDescent="0.2">
      <c r="D3874" s="308"/>
      <c r="E3874" s="291"/>
      <c r="F3874" s="291"/>
      <c r="G3874" s="291"/>
      <c r="H3874" s="287"/>
      <c r="I3874" s="211"/>
      <c r="J3874" s="211"/>
      <c r="K3874" s="288"/>
    </row>
    <row r="3875" spans="4:11" x14ac:dyDescent="0.2">
      <c r="D3875" s="308"/>
      <c r="E3875" s="291"/>
      <c r="F3875" s="291"/>
      <c r="G3875" s="291"/>
      <c r="H3875" s="287"/>
      <c r="I3875" s="211"/>
      <c r="J3875" s="211"/>
      <c r="K3875" s="288"/>
    </row>
    <row r="3876" spans="4:11" x14ac:dyDescent="0.2">
      <c r="D3876" s="308"/>
      <c r="E3876" s="291"/>
      <c r="F3876" s="291"/>
      <c r="G3876" s="291"/>
      <c r="H3876" s="287"/>
      <c r="I3876" s="211"/>
      <c r="J3876" s="211"/>
      <c r="K3876" s="288"/>
    </row>
    <row r="3877" spans="4:11" x14ac:dyDescent="0.2">
      <c r="D3877" s="308"/>
      <c r="E3877" s="291"/>
      <c r="F3877" s="291"/>
      <c r="G3877" s="291"/>
      <c r="H3877" s="287"/>
      <c r="I3877" s="211"/>
      <c r="J3877" s="211"/>
      <c r="K3877" s="288"/>
    </row>
    <row r="3878" spans="4:11" x14ac:dyDescent="0.2">
      <c r="D3878" s="308"/>
      <c r="E3878" s="291"/>
      <c r="F3878" s="291"/>
      <c r="G3878" s="291"/>
      <c r="H3878" s="287"/>
      <c r="I3878" s="211"/>
      <c r="J3878" s="211"/>
      <c r="K3878" s="288"/>
    </row>
    <row r="3879" spans="4:11" x14ac:dyDescent="0.2">
      <c r="D3879" s="308"/>
      <c r="E3879" s="291"/>
      <c r="F3879" s="291"/>
      <c r="G3879" s="291"/>
      <c r="H3879" s="287"/>
      <c r="I3879" s="211"/>
      <c r="J3879" s="211"/>
      <c r="K3879" s="288"/>
    </row>
    <row r="3880" spans="4:11" x14ac:dyDescent="0.2">
      <c r="D3880" s="308"/>
      <c r="E3880" s="291"/>
      <c r="F3880" s="291"/>
      <c r="G3880" s="291"/>
      <c r="H3880" s="287"/>
      <c r="I3880" s="211"/>
      <c r="J3880" s="211"/>
      <c r="K3880" s="288"/>
    </row>
    <row r="3881" spans="4:11" x14ac:dyDescent="0.2">
      <c r="D3881" s="308"/>
      <c r="E3881" s="291"/>
      <c r="F3881" s="291"/>
      <c r="G3881" s="291"/>
      <c r="H3881" s="287"/>
      <c r="I3881" s="211"/>
      <c r="J3881" s="211"/>
      <c r="K3881" s="288"/>
    </row>
    <row r="3882" spans="4:11" x14ac:dyDescent="0.2">
      <c r="D3882" s="308"/>
      <c r="E3882" s="291"/>
      <c r="F3882" s="291"/>
      <c r="G3882" s="291"/>
      <c r="H3882" s="287"/>
      <c r="I3882" s="211"/>
      <c r="J3882" s="211"/>
      <c r="K3882" s="288"/>
    </row>
    <row r="3883" spans="4:11" x14ac:dyDescent="0.2">
      <c r="D3883" s="308"/>
      <c r="E3883" s="291"/>
      <c r="F3883" s="291"/>
      <c r="G3883" s="291"/>
      <c r="H3883" s="287"/>
      <c r="I3883" s="211"/>
      <c r="J3883" s="211"/>
      <c r="K3883" s="288"/>
    </row>
    <row r="3884" spans="4:11" x14ac:dyDescent="0.2">
      <c r="D3884" s="308"/>
      <c r="E3884" s="291"/>
      <c r="F3884" s="291"/>
      <c r="G3884" s="291"/>
      <c r="H3884" s="287"/>
      <c r="I3884" s="211"/>
      <c r="J3884" s="211"/>
      <c r="K3884" s="288"/>
    </row>
    <row r="3885" spans="4:11" x14ac:dyDescent="0.2">
      <c r="D3885" s="308"/>
      <c r="E3885" s="291"/>
      <c r="F3885" s="291"/>
      <c r="G3885" s="291"/>
      <c r="H3885" s="287"/>
      <c r="I3885" s="211"/>
      <c r="J3885" s="211"/>
      <c r="K3885" s="288"/>
    </row>
    <row r="3886" spans="4:11" x14ac:dyDescent="0.2">
      <c r="D3886" s="308"/>
      <c r="E3886" s="291"/>
      <c r="F3886" s="291"/>
      <c r="G3886" s="291"/>
      <c r="H3886" s="287"/>
      <c r="I3886" s="211"/>
      <c r="J3886" s="211"/>
      <c r="K3886" s="288"/>
    </row>
    <row r="3887" spans="4:11" x14ac:dyDescent="0.2">
      <c r="D3887" s="308"/>
      <c r="E3887" s="291"/>
      <c r="F3887" s="291"/>
      <c r="G3887" s="291"/>
      <c r="H3887" s="287"/>
      <c r="I3887" s="211"/>
      <c r="J3887" s="211"/>
      <c r="K3887" s="288"/>
    </row>
    <row r="3888" spans="4:11" x14ac:dyDescent="0.2">
      <c r="D3888" s="308"/>
      <c r="E3888" s="291"/>
      <c r="F3888" s="291"/>
      <c r="G3888" s="291"/>
      <c r="H3888" s="287"/>
      <c r="I3888" s="211"/>
      <c r="J3888" s="211"/>
      <c r="K3888" s="288"/>
    </row>
    <row r="3889" spans="4:11" x14ac:dyDescent="0.2">
      <c r="D3889" s="308"/>
      <c r="E3889" s="291"/>
      <c r="F3889" s="291"/>
      <c r="G3889" s="291"/>
      <c r="H3889" s="287"/>
      <c r="I3889" s="211"/>
      <c r="J3889" s="211"/>
      <c r="K3889" s="288"/>
    </row>
    <row r="3890" spans="4:11" x14ac:dyDescent="0.2">
      <c r="D3890" s="308"/>
      <c r="E3890" s="291"/>
      <c r="F3890" s="291"/>
      <c r="G3890" s="291"/>
      <c r="H3890" s="287"/>
      <c r="I3890" s="211"/>
      <c r="J3890" s="211"/>
      <c r="K3890" s="288"/>
    </row>
    <row r="3891" spans="4:11" x14ac:dyDescent="0.2">
      <c r="D3891" s="308"/>
      <c r="E3891" s="291"/>
      <c r="F3891" s="291"/>
      <c r="G3891" s="291"/>
      <c r="H3891" s="287"/>
      <c r="I3891" s="211"/>
      <c r="J3891" s="211"/>
      <c r="K3891" s="288"/>
    </row>
    <row r="3892" spans="4:11" x14ac:dyDescent="0.2">
      <c r="D3892" s="308"/>
      <c r="E3892" s="291"/>
      <c r="F3892" s="291"/>
      <c r="G3892" s="291"/>
      <c r="H3892" s="287"/>
      <c r="I3892" s="211"/>
      <c r="J3892" s="211"/>
      <c r="K3892" s="288"/>
    </row>
    <row r="3893" spans="4:11" x14ac:dyDescent="0.2">
      <c r="D3893" s="308"/>
      <c r="E3893" s="291"/>
      <c r="F3893" s="291"/>
      <c r="G3893" s="291"/>
      <c r="H3893" s="287"/>
      <c r="I3893" s="211"/>
      <c r="J3893" s="211"/>
      <c r="K3893" s="288"/>
    </row>
    <row r="3894" spans="4:11" x14ac:dyDescent="0.2">
      <c r="D3894" s="308"/>
      <c r="E3894" s="291"/>
      <c r="F3894" s="291"/>
      <c r="G3894" s="291"/>
      <c r="H3894" s="287"/>
      <c r="I3894" s="211"/>
      <c r="J3894" s="211"/>
      <c r="K3894" s="288"/>
    </row>
    <row r="3895" spans="4:11" x14ac:dyDescent="0.2">
      <c r="D3895" s="308"/>
      <c r="E3895" s="291"/>
      <c r="F3895" s="291"/>
      <c r="G3895" s="291"/>
      <c r="H3895" s="287"/>
      <c r="I3895" s="211"/>
      <c r="J3895" s="211"/>
      <c r="K3895" s="288"/>
    </row>
    <row r="3896" spans="4:11" x14ac:dyDescent="0.2">
      <c r="D3896" s="308"/>
      <c r="E3896" s="291"/>
      <c r="F3896" s="291"/>
      <c r="G3896" s="291"/>
      <c r="H3896" s="287"/>
      <c r="I3896" s="211"/>
      <c r="J3896" s="211"/>
      <c r="K3896" s="288"/>
    </row>
    <row r="3897" spans="4:11" x14ac:dyDescent="0.2">
      <c r="D3897" s="308"/>
      <c r="E3897" s="291"/>
      <c r="F3897" s="291"/>
      <c r="G3897" s="291"/>
      <c r="H3897" s="287"/>
      <c r="I3897" s="211"/>
      <c r="J3897" s="211"/>
      <c r="K3897" s="288"/>
    </row>
    <row r="3898" spans="4:11" x14ac:dyDescent="0.2">
      <c r="D3898" s="308"/>
      <c r="E3898" s="291"/>
      <c r="F3898" s="291"/>
      <c r="G3898" s="291"/>
      <c r="H3898" s="287"/>
      <c r="I3898" s="211"/>
      <c r="J3898" s="211"/>
      <c r="K3898" s="288"/>
    </row>
    <row r="3899" spans="4:11" x14ac:dyDescent="0.2">
      <c r="D3899" s="308"/>
      <c r="E3899" s="291"/>
      <c r="F3899" s="291"/>
      <c r="G3899" s="291"/>
      <c r="H3899" s="287"/>
      <c r="I3899" s="211"/>
      <c r="J3899" s="211"/>
      <c r="K3899" s="288"/>
    </row>
    <row r="3900" spans="4:11" x14ac:dyDescent="0.2">
      <c r="D3900" s="308"/>
      <c r="E3900" s="291"/>
      <c r="F3900" s="291"/>
      <c r="G3900" s="291"/>
      <c r="H3900" s="287"/>
      <c r="I3900" s="211"/>
      <c r="J3900" s="211"/>
      <c r="K3900" s="288"/>
    </row>
    <row r="3901" spans="4:11" x14ac:dyDescent="0.2">
      <c r="D3901" s="308"/>
      <c r="E3901" s="291"/>
      <c r="F3901" s="291"/>
      <c r="G3901" s="291"/>
      <c r="H3901" s="287"/>
      <c r="I3901" s="211"/>
      <c r="J3901" s="211"/>
      <c r="K3901" s="288"/>
    </row>
    <row r="3902" spans="4:11" x14ac:dyDescent="0.2">
      <c r="D3902" s="308"/>
      <c r="E3902" s="291"/>
      <c r="F3902" s="291"/>
      <c r="G3902" s="291"/>
      <c r="H3902" s="287"/>
      <c r="I3902" s="211"/>
      <c r="J3902" s="211"/>
      <c r="K3902" s="288"/>
    </row>
    <row r="3903" spans="4:11" x14ac:dyDescent="0.2">
      <c r="D3903" s="308"/>
      <c r="E3903" s="291"/>
      <c r="F3903" s="291"/>
      <c r="G3903" s="291"/>
      <c r="H3903" s="287"/>
      <c r="I3903" s="211"/>
      <c r="J3903" s="211"/>
      <c r="K3903" s="288"/>
    </row>
    <row r="3904" spans="4:11" x14ac:dyDescent="0.2">
      <c r="D3904" s="308"/>
      <c r="E3904" s="291"/>
      <c r="F3904" s="291"/>
      <c r="G3904" s="291"/>
      <c r="H3904" s="287"/>
      <c r="I3904" s="211"/>
      <c r="J3904" s="211"/>
      <c r="K3904" s="288"/>
    </row>
    <row r="3905" spans="4:11" x14ac:dyDescent="0.2">
      <c r="D3905" s="308"/>
      <c r="E3905" s="291"/>
      <c r="F3905" s="291"/>
      <c r="G3905" s="291"/>
      <c r="H3905" s="287"/>
      <c r="I3905" s="211"/>
      <c r="J3905" s="211"/>
      <c r="K3905" s="288"/>
    </row>
    <row r="3906" spans="4:11" x14ac:dyDescent="0.2">
      <c r="D3906" s="308"/>
      <c r="E3906" s="291"/>
      <c r="F3906" s="291"/>
      <c r="G3906" s="291"/>
      <c r="H3906" s="287"/>
      <c r="I3906" s="211"/>
      <c r="J3906" s="211"/>
      <c r="K3906" s="288"/>
    </row>
    <row r="3907" spans="4:11" x14ac:dyDescent="0.2">
      <c r="D3907" s="308"/>
      <c r="E3907" s="291"/>
      <c r="F3907" s="291"/>
      <c r="G3907" s="291"/>
      <c r="H3907" s="287"/>
      <c r="I3907" s="211"/>
      <c r="J3907" s="211"/>
      <c r="K3907" s="288"/>
    </row>
    <row r="3908" spans="4:11" x14ac:dyDescent="0.2">
      <c r="D3908" s="308"/>
      <c r="E3908" s="291"/>
      <c r="F3908" s="291"/>
      <c r="G3908" s="291"/>
      <c r="H3908" s="287"/>
      <c r="I3908" s="211"/>
      <c r="J3908" s="211"/>
      <c r="K3908" s="288"/>
    </row>
    <row r="3909" spans="4:11" x14ac:dyDescent="0.2">
      <c r="D3909" s="308"/>
      <c r="E3909" s="291"/>
      <c r="F3909" s="291"/>
      <c r="G3909" s="291"/>
      <c r="H3909" s="287"/>
      <c r="I3909" s="211"/>
      <c r="J3909" s="211"/>
      <c r="K3909" s="288"/>
    </row>
    <row r="3910" spans="4:11" x14ac:dyDescent="0.2">
      <c r="D3910" s="308"/>
      <c r="E3910" s="291"/>
      <c r="F3910" s="291"/>
      <c r="G3910" s="291"/>
      <c r="H3910" s="287"/>
      <c r="I3910" s="211"/>
      <c r="J3910" s="211"/>
      <c r="K3910" s="288"/>
    </row>
    <row r="3911" spans="4:11" x14ac:dyDescent="0.2">
      <c r="D3911" s="308"/>
      <c r="E3911" s="291"/>
      <c r="F3911" s="291"/>
      <c r="G3911" s="291"/>
      <c r="H3911" s="287"/>
      <c r="I3911" s="211"/>
      <c r="J3911" s="211"/>
      <c r="K3911" s="288"/>
    </row>
    <row r="3912" spans="4:11" x14ac:dyDescent="0.2">
      <c r="D3912" s="308"/>
      <c r="E3912" s="291"/>
      <c r="F3912" s="291"/>
      <c r="G3912" s="291"/>
      <c r="H3912" s="287"/>
      <c r="I3912" s="211"/>
      <c r="J3912" s="211"/>
      <c r="K3912" s="288"/>
    </row>
    <row r="3913" spans="4:11" x14ac:dyDescent="0.2">
      <c r="D3913" s="308"/>
      <c r="E3913" s="291"/>
      <c r="F3913" s="291"/>
      <c r="G3913" s="291"/>
      <c r="H3913" s="287"/>
      <c r="I3913" s="211"/>
      <c r="J3913" s="211"/>
      <c r="K3913" s="288"/>
    </row>
    <row r="3914" spans="4:11" x14ac:dyDescent="0.2">
      <c r="D3914" s="308"/>
      <c r="E3914" s="291"/>
      <c r="F3914" s="291"/>
      <c r="G3914" s="291"/>
      <c r="H3914" s="287"/>
      <c r="I3914" s="211"/>
      <c r="J3914" s="211"/>
      <c r="K3914" s="288"/>
    </row>
    <row r="3915" spans="4:11" x14ac:dyDescent="0.2">
      <c r="D3915" s="308"/>
      <c r="E3915" s="291"/>
      <c r="F3915" s="291"/>
      <c r="G3915" s="291"/>
      <c r="H3915" s="287"/>
      <c r="I3915" s="211"/>
      <c r="J3915" s="211"/>
      <c r="K3915" s="288"/>
    </row>
    <row r="3916" spans="4:11" x14ac:dyDescent="0.2">
      <c r="D3916" s="308"/>
      <c r="E3916" s="291"/>
      <c r="F3916" s="291"/>
      <c r="G3916" s="291"/>
      <c r="H3916" s="287"/>
      <c r="I3916" s="211"/>
      <c r="J3916" s="211"/>
      <c r="K3916" s="288"/>
    </row>
    <row r="3917" spans="4:11" x14ac:dyDescent="0.2">
      <c r="D3917" s="308"/>
      <c r="E3917" s="291"/>
      <c r="F3917" s="291"/>
      <c r="G3917" s="291"/>
      <c r="H3917" s="287"/>
      <c r="I3917" s="211"/>
      <c r="J3917" s="211"/>
      <c r="K3917" s="288"/>
    </row>
    <row r="3918" spans="4:11" x14ac:dyDescent="0.2">
      <c r="D3918" s="308"/>
      <c r="E3918" s="291"/>
      <c r="F3918" s="291"/>
      <c r="G3918" s="291"/>
      <c r="H3918" s="287"/>
      <c r="I3918" s="211"/>
      <c r="J3918" s="211"/>
      <c r="K3918" s="288"/>
    </row>
    <row r="3919" spans="4:11" x14ac:dyDescent="0.2">
      <c r="D3919" s="308"/>
      <c r="E3919" s="291"/>
      <c r="F3919" s="291"/>
      <c r="G3919" s="291"/>
      <c r="H3919" s="287"/>
      <c r="I3919" s="211"/>
      <c r="J3919" s="211"/>
      <c r="K3919" s="288"/>
    </row>
    <row r="3920" spans="4:11" x14ac:dyDescent="0.2">
      <c r="D3920" s="308"/>
      <c r="E3920" s="291"/>
      <c r="F3920" s="291"/>
      <c r="G3920" s="291"/>
      <c r="H3920" s="287"/>
      <c r="I3920" s="211"/>
      <c r="J3920" s="211"/>
      <c r="K3920" s="288"/>
    </row>
    <row r="3921" spans="4:11" x14ac:dyDescent="0.2">
      <c r="D3921" s="308"/>
      <c r="E3921" s="291"/>
      <c r="F3921" s="291"/>
      <c r="G3921" s="291"/>
      <c r="H3921" s="287"/>
      <c r="I3921" s="211"/>
      <c r="J3921" s="211"/>
      <c r="K3921" s="288"/>
    </row>
    <row r="3922" spans="4:11" x14ac:dyDescent="0.2">
      <c r="D3922" s="308"/>
      <c r="E3922" s="291"/>
      <c r="F3922" s="291"/>
      <c r="G3922" s="291"/>
      <c r="H3922" s="287"/>
      <c r="I3922" s="211"/>
      <c r="J3922" s="211"/>
      <c r="K3922" s="288"/>
    </row>
    <row r="3923" spans="4:11" x14ac:dyDescent="0.2">
      <c r="D3923" s="308"/>
      <c r="E3923" s="291"/>
      <c r="F3923" s="291"/>
      <c r="G3923" s="291"/>
      <c r="H3923" s="287"/>
      <c r="I3923" s="211"/>
      <c r="J3923" s="211"/>
      <c r="K3923" s="288"/>
    </row>
    <row r="3924" spans="4:11" x14ac:dyDescent="0.2">
      <c r="D3924" s="308"/>
      <c r="E3924" s="291"/>
      <c r="F3924" s="291"/>
      <c r="G3924" s="291"/>
      <c r="H3924" s="287"/>
      <c r="I3924" s="211"/>
      <c r="J3924" s="211"/>
      <c r="K3924" s="288"/>
    </row>
    <row r="3925" spans="4:11" x14ac:dyDescent="0.2">
      <c r="D3925" s="308"/>
      <c r="E3925" s="291"/>
      <c r="F3925" s="291"/>
      <c r="G3925" s="291"/>
      <c r="H3925" s="287"/>
      <c r="I3925" s="211"/>
      <c r="J3925" s="211"/>
      <c r="K3925" s="288"/>
    </row>
    <row r="3926" spans="4:11" x14ac:dyDescent="0.2">
      <c r="D3926" s="308"/>
      <c r="E3926" s="291"/>
      <c r="F3926" s="291"/>
      <c r="G3926" s="291"/>
      <c r="H3926" s="287"/>
      <c r="I3926" s="211"/>
      <c r="J3926" s="211"/>
      <c r="K3926" s="288"/>
    </row>
    <row r="3927" spans="4:11" x14ac:dyDescent="0.2">
      <c r="D3927" s="308"/>
      <c r="E3927" s="291"/>
      <c r="F3927" s="291"/>
      <c r="G3927" s="291"/>
      <c r="H3927" s="287"/>
      <c r="I3927" s="211"/>
      <c r="J3927" s="211"/>
      <c r="K3927" s="288"/>
    </row>
    <row r="3928" spans="4:11" x14ac:dyDescent="0.2">
      <c r="D3928" s="308"/>
      <c r="E3928" s="291"/>
      <c r="F3928" s="291"/>
      <c r="G3928" s="291"/>
      <c r="H3928" s="287"/>
      <c r="I3928" s="211"/>
      <c r="J3928" s="211"/>
      <c r="K3928" s="288"/>
    </row>
    <row r="3929" spans="4:11" x14ac:dyDescent="0.2">
      <c r="D3929" s="308"/>
      <c r="E3929" s="291"/>
      <c r="F3929" s="291"/>
      <c r="G3929" s="291"/>
      <c r="H3929" s="287"/>
      <c r="I3929" s="211"/>
      <c r="J3929" s="211"/>
      <c r="K3929" s="288"/>
    </row>
    <row r="3930" spans="4:11" x14ac:dyDescent="0.2">
      <c r="D3930" s="308"/>
      <c r="E3930" s="291"/>
      <c r="F3930" s="291"/>
      <c r="G3930" s="291"/>
      <c r="H3930" s="287"/>
      <c r="I3930" s="211"/>
      <c r="J3930" s="211"/>
      <c r="K3930" s="288"/>
    </row>
    <row r="3931" spans="4:11" x14ac:dyDescent="0.2">
      <c r="D3931" s="308"/>
      <c r="E3931" s="291"/>
      <c r="F3931" s="291"/>
      <c r="G3931" s="291"/>
      <c r="H3931" s="287"/>
      <c r="I3931" s="211"/>
      <c r="J3931" s="211"/>
      <c r="K3931" s="288"/>
    </row>
    <row r="3932" spans="4:11" x14ac:dyDescent="0.2">
      <c r="D3932" s="308"/>
      <c r="E3932" s="291"/>
      <c r="F3932" s="291"/>
      <c r="G3932" s="291"/>
      <c r="H3932" s="287"/>
      <c r="I3932" s="211"/>
      <c r="J3932" s="211"/>
      <c r="K3932" s="288"/>
    </row>
    <row r="3933" spans="4:11" x14ac:dyDescent="0.2">
      <c r="D3933" s="308"/>
      <c r="E3933" s="291"/>
      <c r="F3933" s="291"/>
      <c r="G3933" s="291"/>
      <c r="H3933" s="287"/>
      <c r="I3933" s="211"/>
      <c r="J3933" s="211"/>
      <c r="K3933" s="288"/>
    </row>
    <row r="3934" spans="4:11" x14ac:dyDescent="0.2">
      <c r="D3934" s="308"/>
      <c r="E3934" s="291"/>
      <c r="F3934" s="291"/>
      <c r="G3934" s="291"/>
      <c r="H3934" s="287"/>
      <c r="I3934" s="211"/>
      <c r="J3934" s="211"/>
      <c r="K3934" s="288"/>
    </row>
    <row r="3935" spans="4:11" x14ac:dyDescent="0.2">
      <c r="D3935" s="308"/>
      <c r="E3935" s="291"/>
      <c r="F3935" s="291"/>
      <c r="G3935" s="291"/>
      <c r="H3935" s="287"/>
      <c r="I3935" s="211"/>
      <c r="J3935" s="211"/>
      <c r="K3935" s="288"/>
    </row>
    <row r="3936" spans="4:11" x14ac:dyDescent="0.2">
      <c r="D3936" s="308"/>
      <c r="E3936" s="291"/>
      <c r="F3936" s="291"/>
      <c r="G3936" s="291"/>
      <c r="H3936" s="287"/>
      <c r="I3936" s="211"/>
      <c r="J3936" s="211"/>
      <c r="K3936" s="288"/>
    </row>
    <row r="3937" spans="4:11" x14ac:dyDescent="0.2">
      <c r="D3937" s="308"/>
      <c r="E3937" s="291"/>
      <c r="F3937" s="291"/>
      <c r="G3937" s="291"/>
      <c r="H3937" s="287"/>
      <c r="I3937" s="211"/>
      <c r="J3937" s="211"/>
      <c r="K3937" s="288"/>
    </row>
    <row r="3938" spans="4:11" x14ac:dyDescent="0.2">
      <c r="D3938" s="308"/>
      <c r="E3938" s="291"/>
      <c r="F3938" s="291"/>
      <c r="G3938" s="291"/>
      <c r="H3938" s="287"/>
      <c r="I3938" s="211"/>
      <c r="J3938" s="211"/>
      <c r="K3938" s="288"/>
    </row>
    <row r="3939" spans="4:11" x14ac:dyDescent="0.2">
      <c r="D3939" s="308"/>
      <c r="E3939" s="291"/>
      <c r="F3939" s="291"/>
      <c r="G3939" s="291"/>
      <c r="H3939" s="287"/>
      <c r="I3939" s="211"/>
      <c r="J3939" s="211"/>
      <c r="K3939" s="288"/>
    </row>
    <row r="3940" spans="4:11" x14ac:dyDescent="0.2">
      <c r="D3940" s="308"/>
      <c r="E3940" s="291"/>
      <c r="F3940" s="291"/>
      <c r="G3940" s="291"/>
      <c r="H3940" s="287"/>
      <c r="I3940" s="211"/>
      <c r="J3940" s="211"/>
      <c r="K3940" s="288"/>
    </row>
    <row r="3941" spans="4:11" x14ac:dyDescent="0.2">
      <c r="D3941" s="308"/>
      <c r="E3941" s="291"/>
      <c r="F3941" s="291"/>
      <c r="G3941" s="291"/>
      <c r="H3941" s="287"/>
      <c r="I3941" s="211"/>
      <c r="J3941" s="211"/>
      <c r="K3941" s="288"/>
    </row>
    <row r="3942" spans="4:11" x14ac:dyDescent="0.2">
      <c r="D3942" s="308"/>
      <c r="E3942" s="291"/>
      <c r="F3942" s="291"/>
      <c r="G3942" s="291"/>
      <c r="H3942" s="287"/>
      <c r="I3942" s="211"/>
      <c r="J3942" s="211"/>
      <c r="K3942" s="288"/>
    </row>
    <row r="3943" spans="4:11" x14ac:dyDescent="0.2">
      <c r="D3943" s="308"/>
      <c r="E3943" s="291"/>
      <c r="F3943" s="291"/>
      <c r="G3943" s="291"/>
      <c r="H3943" s="287"/>
      <c r="I3943" s="211"/>
      <c r="J3943" s="211"/>
      <c r="K3943" s="288"/>
    </row>
    <row r="3944" spans="4:11" x14ac:dyDescent="0.2">
      <c r="D3944" s="308"/>
      <c r="E3944" s="291"/>
      <c r="F3944" s="291"/>
      <c r="G3944" s="291"/>
      <c r="H3944" s="287"/>
      <c r="I3944" s="211"/>
      <c r="J3944" s="211"/>
      <c r="K3944" s="288"/>
    </row>
    <row r="3945" spans="4:11" x14ac:dyDescent="0.2">
      <c r="D3945" s="308"/>
      <c r="E3945" s="291"/>
      <c r="F3945" s="291"/>
      <c r="G3945" s="291"/>
      <c r="H3945" s="287"/>
      <c r="I3945" s="211"/>
      <c r="J3945" s="211"/>
      <c r="K3945" s="288"/>
    </row>
    <row r="3946" spans="4:11" x14ac:dyDescent="0.2">
      <c r="D3946" s="308"/>
      <c r="E3946" s="291"/>
      <c r="F3946" s="291"/>
      <c r="G3946" s="291"/>
      <c r="H3946" s="287"/>
      <c r="I3946" s="211"/>
      <c r="J3946" s="211"/>
      <c r="K3946" s="288"/>
    </row>
    <row r="3947" spans="4:11" x14ac:dyDescent="0.2">
      <c r="D3947" s="308"/>
      <c r="E3947" s="291"/>
      <c r="F3947" s="291"/>
      <c r="G3947" s="291"/>
      <c r="H3947" s="287"/>
      <c r="I3947" s="211"/>
      <c r="J3947" s="211"/>
      <c r="K3947" s="288"/>
    </row>
    <row r="3948" spans="4:11" x14ac:dyDescent="0.2">
      <c r="D3948" s="308"/>
      <c r="E3948" s="291"/>
      <c r="F3948" s="291"/>
      <c r="G3948" s="291"/>
      <c r="H3948" s="287"/>
      <c r="I3948" s="211"/>
      <c r="J3948" s="211"/>
      <c r="K3948" s="288"/>
    </row>
    <row r="3949" spans="4:11" x14ac:dyDescent="0.2">
      <c r="D3949" s="308"/>
      <c r="E3949" s="291"/>
      <c r="F3949" s="291"/>
      <c r="G3949" s="291"/>
      <c r="H3949" s="287"/>
      <c r="I3949" s="211"/>
      <c r="J3949" s="211"/>
      <c r="K3949" s="288"/>
    </row>
    <row r="3950" spans="4:11" x14ac:dyDescent="0.2">
      <c r="D3950" s="308"/>
      <c r="E3950" s="291"/>
      <c r="F3950" s="291"/>
      <c r="G3950" s="291"/>
      <c r="H3950" s="287"/>
      <c r="I3950" s="211"/>
      <c r="J3950" s="211"/>
      <c r="K3950" s="288"/>
    </row>
    <row r="3951" spans="4:11" x14ac:dyDescent="0.2">
      <c r="D3951" s="308"/>
      <c r="E3951" s="291"/>
      <c r="F3951" s="291"/>
      <c r="G3951" s="291"/>
      <c r="H3951" s="287"/>
      <c r="I3951" s="211"/>
      <c r="J3951" s="211"/>
      <c r="K3951" s="288"/>
    </row>
    <row r="3952" spans="4:11" x14ac:dyDescent="0.2">
      <c r="D3952" s="308"/>
      <c r="E3952" s="291"/>
      <c r="F3952" s="291"/>
      <c r="G3952" s="291"/>
      <c r="H3952" s="287"/>
      <c r="I3952" s="211"/>
      <c r="J3952" s="211"/>
      <c r="K3952" s="288"/>
    </row>
    <row r="3953" spans="4:11" x14ac:dyDescent="0.2">
      <c r="D3953" s="308"/>
      <c r="E3953" s="291"/>
      <c r="F3953" s="291"/>
      <c r="G3953" s="291"/>
      <c r="H3953" s="287"/>
      <c r="I3953" s="211"/>
      <c r="J3953" s="211"/>
      <c r="K3953" s="288"/>
    </row>
    <row r="3954" spans="4:11" x14ac:dyDescent="0.2">
      <c r="D3954" s="308"/>
      <c r="E3954" s="291"/>
      <c r="F3954" s="291"/>
      <c r="G3954" s="291"/>
      <c r="H3954" s="287"/>
      <c r="I3954" s="211"/>
      <c r="J3954" s="211"/>
      <c r="K3954" s="288"/>
    </row>
    <row r="3955" spans="4:11" x14ac:dyDescent="0.2">
      <c r="D3955" s="308"/>
      <c r="E3955" s="291"/>
      <c r="F3955" s="291"/>
      <c r="G3955" s="291"/>
      <c r="H3955" s="287"/>
      <c r="I3955" s="211"/>
      <c r="J3955" s="211"/>
      <c r="K3955" s="288"/>
    </row>
    <row r="3956" spans="4:11" x14ac:dyDescent="0.2">
      <c r="D3956" s="308"/>
      <c r="E3956" s="291"/>
      <c r="F3956" s="291"/>
      <c r="G3956" s="291"/>
      <c r="H3956" s="287"/>
      <c r="I3956" s="211"/>
      <c r="J3956" s="211"/>
      <c r="K3956" s="288"/>
    </row>
    <row r="3957" spans="4:11" x14ac:dyDescent="0.2">
      <c r="D3957" s="308"/>
      <c r="E3957" s="291"/>
      <c r="F3957" s="291"/>
      <c r="G3957" s="291"/>
      <c r="H3957" s="287"/>
      <c r="I3957" s="211"/>
      <c r="J3957" s="211"/>
      <c r="K3957" s="288"/>
    </row>
    <row r="3958" spans="4:11" x14ac:dyDescent="0.2">
      <c r="D3958" s="308"/>
      <c r="E3958" s="291"/>
      <c r="F3958" s="291"/>
      <c r="G3958" s="291"/>
      <c r="H3958" s="287"/>
      <c r="I3958" s="211"/>
      <c r="J3958" s="211"/>
      <c r="K3958" s="288"/>
    </row>
    <row r="3959" spans="4:11" x14ac:dyDescent="0.2">
      <c r="D3959" s="308"/>
      <c r="E3959" s="291"/>
      <c r="F3959" s="291"/>
      <c r="G3959" s="291"/>
      <c r="H3959" s="287"/>
      <c r="I3959" s="211"/>
      <c r="J3959" s="211"/>
      <c r="K3959" s="288"/>
    </row>
    <row r="3960" spans="4:11" x14ac:dyDescent="0.2">
      <c r="D3960" s="308"/>
      <c r="E3960" s="291"/>
      <c r="F3960" s="291"/>
      <c r="G3960" s="291"/>
      <c r="H3960" s="287"/>
      <c r="I3960" s="211"/>
      <c r="J3960" s="211"/>
      <c r="K3960" s="288"/>
    </row>
    <row r="3961" spans="4:11" x14ac:dyDescent="0.2">
      <c r="D3961" s="308"/>
      <c r="E3961" s="291"/>
      <c r="F3961" s="291"/>
      <c r="G3961" s="291"/>
      <c r="H3961" s="287"/>
      <c r="I3961" s="211"/>
      <c r="J3961" s="211"/>
      <c r="K3961" s="288"/>
    </row>
    <row r="3962" spans="4:11" x14ac:dyDescent="0.2">
      <c r="D3962" s="308"/>
      <c r="E3962" s="291"/>
      <c r="F3962" s="291"/>
      <c r="G3962" s="291"/>
      <c r="H3962" s="287"/>
      <c r="I3962" s="211"/>
      <c r="J3962" s="211"/>
      <c r="K3962" s="288"/>
    </row>
    <row r="3963" spans="4:11" x14ac:dyDescent="0.2">
      <c r="D3963" s="308"/>
      <c r="E3963" s="291"/>
      <c r="F3963" s="291"/>
      <c r="G3963" s="291"/>
      <c r="H3963" s="287"/>
      <c r="I3963" s="211"/>
      <c r="J3963" s="211"/>
      <c r="K3963" s="288"/>
    </row>
    <row r="3964" spans="4:11" x14ac:dyDescent="0.2">
      <c r="D3964" s="308"/>
      <c r="E3964" s="291"/>
      <c r="F3964" s="291"/>
      <c r="G3964" s="291"/>
      <c r="H3964" s="287"/>
      <c r="I3964" s="211"/>
      <c r="J3964" s="211"/>
      <c r="K3964" s="288"/>
    </row>
    <row r="3965" spans="4:11" x14ac:dyDescent="0.2">
      <c r="D3965" s="308"/>
      <c r="E3965" s="291"/>
      <c r="F3965" s="291"/>
      <c r="G3965" s="291"/>
      <c r="H3965" s="287"/>
      <c r="I3965" s="211"/>
      <c r="J3965" s="211"/>
      <c r="K3965" s="288"/>
    </row>
    <row r="3966" spans="4:11" x14ac:dyDescent="0.2">
      <c r="D3966" s="308"/>
      <c r="E3966" s="291"/>
      <c r="F3966" s="291"/>
      <c r="G3966" s="291"/>
      <c r="H3966" s="287"/>
      <c r="I3966" s="211"/>
      <c r="J3966" s="211"/>
      <c r="K3966" s="288"/>
    </row>
    <row r="3967" spans="4:11" x14ac:dyDescent="0.2">
      <c r="D3967" s="308"/>
      <c r="E3967" s="291"/>
      <c r="F3967" s="291"/>
      <c r="G3967" s="291"/>
      <c r="H3967" s="287"/>
      <c r="I3967" s="211"/>
      <c r="J3967" s="211"/>
      <c r="K3967" s="288"/>
    </row>
    <row r="3968" spans="4:11" x14ac:dyDescent="0.2">
      <c r="D3968" s="308"/>
      <c r="E3968" s="291"/>
      <c r="F3968" s="291"/>
      <c r="G3968" s="291"/>
      <c r="H3968" s="287"/>
      <c r="I3968" s="211"/>
      <c r="J3968" s="211"/>
      <c r="K3968" s="288"/>
    </row>
    <row r="3969" spans="4:11" x14ac:dyDescent="0.2">
      <c r="D3969" s="308"/>
      <c r="E3969" s="291"/>
      <c r="F3969" s="291"/>
      <c r="G3969" s="291"/>
      <c r="H3969" s="287"/>
      <c r="I3969" s="211"/>
      <c r="J3969" s="211"/>
      <c r="K3969" s="288"/>
    </row>
    <row r="3970" spans="4:11" x14ac:dyDescent="0.2">
      <c r="D3970" s="308"/>
      <c r="E3970" s="291"/>
      <c r="F3970" s="291"/>
      <c r="G3970" s="291"/>
      <c r="H3970" s="287"/>
      <c r="I3970" s="211"/>
      <c r="J3970" s="211"/>
      <c r="K3970" s="288"/>
    </row>
    <row r="3971" spans="4:11" x14ac:dyDescent="0.2">
      <c r="D3971" s="308"/>
      <c r="E3971" s="291"/>
      <c r="F3971" s="291"/>
      <c r="G3971" s="291"/>
      <c r="H3971" s="287"/>
      <c r="I3971" s="211"/>
      <c r="J3971" s="211"/>
      <c r="K3971" s="288"/>
    </row>
    <row r="3972" spans="4:11" x14ac:dyDescent="0.2">
      <c r="D3972" s="308"/>
      <c r="E3972" s="291"/>
      <c r="F3972" s="291"/>
      <c r="G3972" s="291"/>
      <c r="H3972" s="287"/>
      <c r="I3972" s="211"/>
      <c r="J3972" s="211"/>
      <c r="K3972" s="288"/>
    </row>
    <row r="3973" spans="4:11" x14ac:dyDescent="0.2">
      <c r="D3973" s="308"/>
      <c r="E3973" s="291"/>
      <c r="F3973" s="291"/>
      <c r="G3973" s="291"/>
      <c r="H3973" s="287"/>
      <c r="I3973" s="211"/>
      <c r="J3973" s="211"/>
      <c r="K3973" s="288"/>
    </row>
    <row r="3974" spans="4:11" x14ac:dyDescent="0.2">
      <c r="D3974" s="308"/>
      <c r="E3974" s="291"/>
      <c r="F3974" s="291"/>
      <c r="G3974" s="291"/>
      <c r="H3974" s="287"/>
      <c r="I3974" s="211"/>
      <c r="J3974" s="211"/>
      <c r="K3974" s="288"/>
    </row>
    <row r="3975" spans="4:11" x14ac:dyDescent="0.2">
      <c r="D3975" s="308"/>
      <c r="E3975" s="291"/>
      <c r="F3975" s="291"/>
      <c r="G3975" s="291"/>
      <c r="H3975" s="287"/>
      <c r="I3975" s="211"/>
      <c r="J3975" s="211"/>
      <c r="K3975" s="288"/>
    </row>
    <row r="3976" spans="4:11" x14ac:dyDescent="0.2">
      <c r="D3976" s="308"/>
      <c r="E3976" s="291"/>
      <c r="F3976" s="291"/>
      <c r="G3976" s="291"/>
      <c r="H3976" s="287"/>
      <c r="I3976" s="211"/>
      <c r="J3976" s="211"/>
      <c r="K3976" s="288"/>
    </row>
    <row r="3977" spans="4:11" x14ac:dyDescent="0.2">
      <c r="D3977" s="308"/>
      <c r="E3977" s="291"/>
      <c r="F3977" s="291"/>
      <c r="G3977" s="291"/>
      <c r="H3977" s="287"/>
      <c r="I3977" s="211"/>
      <c r="J3977" s="211"/>
      <c r="K3977" s="288"/>
    </row>
    <row r="3978" spans="4:11" x14ac:dyDescent="0.2">
      <c r="D3978" s="308"/>
      <c r="E3978" s="291"/>
      <c r="F3978" s="291"/>
      <c r="G3978" s="291"/>
      <c r="H3978" s="287"/>
      <c r="I3978" s="211"/>
      <c r="J3978" s="211"/>
      <c r="K3978" s="288"/>
    </row>
    <row r="3979" spans="4:11" x14ac:dyDescent="0.2">
      <c r="D3979" s="308"/>
      <c r="E3979" s="291"/>
      <c r="F3979" s="291"/>
      <c r="G3979" s="291"/>
      <c r="H3979" s="287"/>
      <c r="I3979" s="211"/>
      <c r="J3979" s="211"/>
      <c r="K3979" s="288"/>
    </row>
    <row r="3980" spans="4:11" x14ac:dyDescent="0.2">
      <c r="D3980" s="308"/>
      <c r="E3980" s="291"/>
      <c r="F3980" s="291"/>
      <c r="G3980" s="291"/>
      <c r="H3980" s="287"/>
      <c r="I3980" s="211"/>
      <c r="J3980" s="211"/>
      <c r="K3980" s="288"/>
    </row>
    <row r="3981" spans="4:11" x14ac:dyDescent="0.2">
      <c r="D3981" s="308"/>
      <c r="E3981" s="291"/>
      <c r="F3981" s="291"/>
      <c r="G3981" s="291"/>
      <c r="H3981" s="287"/>
      <c r="I3981" s="211"/>
      <c r="J3981" s="211"/>
      <c r="K3981" s="288"/>
    </row>
    <row r="3982" spans="4:11" x14ac:dyDescent="0.2">
      <c r="D3982" s="308"/>
      <c r="E3982" s="291"/>
      <c r="F3982" s="291"/>
      <c r="G3982" s="291"/>
      <c r="H3982" s="287"/>
      <c r="I3982" s="211"/>
      <c r="J3982" s="211"/>
      <c r="K3982" s="288"/>
    </row>
    <row r="3983" spans="4:11" x14ac:dyDescent="0.2">
      <c r="D3983" s="308"/>
      <c r="E3983" s="291"/>
      <c r="F3983" s="291"/>
      <c r="G3983" s="291"/>
      <c r="H3983" s="287"/>
      <c r="I3983" s="211"/>
      <c r="J3983" s="211"/>
      <c r="K3983" s="288"/>
    </row>
    <row r="3984" spans="4:11" x14ac:dyDescent="0.2">
      <c r="D3984" s="308"/>
      <c r="E3984" s="291"/>
      <c r="F3984" s="291"/>
      <c r="G3984" s="291"/>
      <c r="H3984" s="287"/>
      <c r="I3984" s="211"/>
      <c r="J3984" s="211"/>
      <c r="K3984" s="288"/>
    </row>
    <row r="3985" spans="4:11" x14ac:dyDescent="0.2">
      <c r="D3985" s="308"/>
      <c r="E3985" s="291"/>
      <c r="F3985" s="291"/>
      <c r="G3985" s="291"/>
      <c r="H3985" s="287"/>
      <c r="I3985" s="211"/>
      <c r="J3985" s="211"/>
      <c r="K3985" s="288"/>
    </row>
    <row r="3986" spans="4:11" x14ac:dyDescent="0.2">
      <c r="D3986" s="308"/>
      <c r="E3986" s="291"/>
      <c r="F3986" s="291"/>
      <c r="G3986" s="291"/>
      <c r="H3986" s="287"/>
      <c r="I3986" s="211"/>
      <c r="J3986" s="211"/>
      <c r="K3986" s="288"/>
    </row>
    <row r="3987" spans="4:11" x14ac:dyDescent="0.2">
      <c r="D3987" s="308"/>
      <c r="E3987" s="291"/>
      <c r="F3987" s="291"/>
      <c r="G3987" s="291"/>
      <c r="H3987" s="287"/>
      <c r="I3987" s="211"/>
      <c r="J3987" s="211"/>
      <c r="K3987" s="288"/>
    </row>
    <row r="3988" spans="4:11" x14ac:dyDescent="0.2">
      <c r="D3988" s="308"/>
      <c r="E3988" s="291"/>
      <c r="F3988" s="291"/>
      <c r="G3988" s="291"/>
      <c r="H3988" s="287"/>
      <c r="I3988" s="211"/>
      <c r="J3988" s="211"/>
      <c r="K3988" s="288"/>
    </row>
    <row r="3989" spans="4:11" x14ac:dyDescent="0.2">
      <c r="D3989" s="308"/>
      <c r="E3989" s="291"/>
      <c r="F3989" s="291"/>
      <c r="G3989" s="291"/>
      <c r="H3989" s="287"/>
      <c r="I3989" s="211"/>
      <c r="J3989" s="211"/>
      <c r="K3989" s="288"/>
    </row>
    <row r="3990" spans="4:11" x14ac:dyDescent="0.2">
      <c r="D3990" s="308"/>
      <c r="E3990" s="291"/>
      <c r="F3990" s="291"/>
      <c r="G3990" s="291"/>
      <c r="H3990" s="287"/>
      <c r="I3990" s="211"/>
      <c r="J3990" s="211"/>
      <c r="K3990" s="288"/>
    </row>
    <row r="3991" spans="4:11" x14ac:dyDescent="0.2">
      <c r="D3991" s="308"/>
      <c r="E3991" s="291"/>
      <c r="F3991" s="291"/>
      <c r="G3991" s="291"/>
      <c r="H3991" s="287"/>
      <c r="I3991" s="211"/>
      <c r="J3991" s="211"/>
      <c r="K3991" s="288"/>
    </row>
    <row r="3992" spans="4:11" x14ac:dyDescent="0.2">
      <c r="D3992" s="308"/>
      <c r="E3992" s="291"/>
      <c r="F3992" s="291"/>
      <c r="G3992" s="291"/>
      <c r="H3992" s="287"/>
      <c r="I3992" s="211"/>
      <c r="J3992" s="211"/>
      <c r="K3992" s="288"/>
    </row>
    <row r="3993" spans="4:11" x14ac:dyDescent="0.2">
      <c r="D3993" s="308"/>
      <c r="E3993" s="291"/>
      <c r="F3993" s="291"/>
      <c r="G3993" s="291"/>
      <c r="H3993" s="287"/>
      <c r="I3993" s="211"/>
      <c r="J3993" s="211"/>
      <c r="K3993" s="288"/>
    </row>
    <row r="3994" spans="4:11" x14ac:dyDescent="0.2">
      <c r="D3994" s="308"/>
      <c r="E3994" s="291"/>
      <c r="F3994" s="291"/>
      <c r="G3994" s="291"/>
      <c r="H3994" s="287"/>
      <c r="I3994" s="211"/>
      <c r="J3994" s="211"/>
      <c r="K3994" s="288"/>
    </row>
    <row r="3995" spans="4:11" x14ac:dyDescent="0.2">
      <c r="D3995" s="308"/>
      <c r="E3995" s="291"/>
      <c r="F3995" s="291"/>
      <c r="G3995" s="291"/>
      <c r="H3995" s="287"/>
      <c r="I3995" s="211"/>
      <c r="J3995" s="211"/>
      <c r="K3995" s="288"/>
    </row>
    <row r="3996" spans="4:11" x14ac:dyDescent="0.2">
      <c r="D3996" s="308"/>
      <c r="E3996" s="291"/>
      <c r="F3996" s="291"/>
      <c r="G3996" s="291"/>
      <c r="H3996" s="287"/>
      <c r="I3996" s="211"/>
      <c r="J3996" s="211"/>
      <c r="K3996" s="288"/>
    </row>
    <row r="3997" spans="4:11" x14ac:dyDescent="0.2">
      <c r="D3997" s="308"/>
      <c r="E3997" s="291"/>
      <c r="F3997" s="291"/>
      <c r="G3997" s="291"/>
      <c r="H3997" s="287"/>
      <c r="I3997" s="211"/>
      <c r="J3997" s="211"/>
      <c r="K3997" s="288"/>
    </row>
    <row r="3998" spans="4:11" x14ac:dyDescent="0.2">
      <c r="D3998" s="308"/>
      <c r="E3998" s="291"/>
      <c r="F3998" s="291"/>
      <c r="G3998" s="291"/>
      <c r="H3998" s="287"/>
      <c r="I3998" s="211"/>
      <c r="J3998" s="211"/>
      <c r="K3998" s="288"/>
    </row>
    <row r="3999" spans="4:11" x14ac:dyDescent="0.2">
      <c r="D3999" s="308"/>
      <c r="E3999" s="291"/>
      <c r="F3999" s="291"/>
      <c r="G3999" s="291"/>
      <c r="H3999" s="287"/>
      <c r="I3999" s="211"/>
      <c r="J3999" s="211"/>
      <c r="K3999" s="288"/>
    </row>
    <row r="4000" spans="4:11" x14ac:dyDescent="0.2">
      <c r="D4000" s="308"/>
      <c r="E4000" s="291"/>
      <c r="F4000" s="291"/>
      <c r="G4000" s="291"/>
      <c r="H4000" s="287"/>
      <c r="I4000" s="211"/>
      <c r="J4000" s="211"/>
      <c r="K4000" s="288"/>
    </row>
    <row r="4001" spans="4:11" x14ac:dyDescent="0.2">
      <c r="D4001" s="308"/>
      <c r="E4001" s="291"/>
      <c r="F4001" s="291"/>
      <c r="G4001" s="291"/>
      <c r="H4001" s="287"/>
      <c r="I4001" s="211"/>
      <c r="J4001" s="211"/>
      <c r="K4001" s="288"/>
    </row>
    <row r="4002" spans="4:11" x14ac:dyDescent="0.2">
      <c r="D4002" s="308"/>
      <c r="E4002" s="291"/>
      <c r="F4002" s="291"/>
      <c r="G4002" s="291"/>
      <c r="H4002" s="287"/>
      <c r="I4002" s="211"/>
      <c r="J4002" s="211"/>
      <c r="K4002" s="288"/>
    </row>
    <row r="4003" spans="4:11" x14ac:dyDescent="0.2">
      <c r="D4003" s="308"/>
      <c r="E4003" s="291"/>
      <c r="F4003" s="291"/>
      <c r="G4003" s="291"/>
      <c r="H4003" s="287"/>
      <c r="I4003" s="211"/>
      <c r="J4003" s="211"/>
      <c r="K4003" s="288"/>
    </row>
    <row r="4004" spans="4:11" x14ac:dyDescent="0.2">
      <c r="D4004" s="308"/>
      <c r="E4004" s="291"/>
      <c r="F4004" s="291"/>
      <c r="G4004" s="291"/>
      <c r="H4004" s="287"/>
      <c r="I4004" s="211"/>
      <c r="J4004" s="211"/>
      <c r="K4004" s="288"/>
    </row>
    <row r="4005" spans="4:11" x14ac:dyDescent="0.2">
      <c r="D4005" s="308"/>
      <c r="E4005" s="291"/>
      <c r="F4005" s="291"/>
      <c r="G4005" s="291"/>
      <c r="H4005" s="287"/>
      <c r="I4005" s="211"/>
      <c r="J4005" s="211"/>
      <c r="K4005" s="288"/>
    </row>
    <row r="4006" spans="4:11" x14ac:dyDescent="0.2">
      <c r="D4006" s="308"/>
      <c r="E4006" s="291"/>
      <c r="F4006" s="291"/>
      <c r="G4006" s="291"/>
      <c r="H4006" s="287"/>
      <c r="I4006" s="211"/>
      <c r="J4006" s="211"/>
      <c r="K4006" s="288"/>
    </row>
    <row r="4007" spans="4:11" x14ac:dyDescent="0.2">
      <c r="D4007" s="308"/>
      <c r="E4007" s="291"/>
      <c r="F4007" s="291"/>
      <c r="G4007" s="291"/>
      <c r="H4007" s="287"/>
      <c r="I4007" s="211"/>
      <c r="J4007" s="211"/>
      <c r="K4007" s="288"/>
    </row>
    <row r="4008" spans="4:11" x14ac:dyDescent="0.2">
      <c r="D4008" s="308"/>
      <c r="E4008" s="291"/>
      <c r="F4008" s="291"/>
      <c r="G4008" s="291"/>
      <c r="H4008" s="287"/>
      <c r="I4008" s="211"/>
      <c r="J4008" s="211"/>
      <c r="K4008" s="288"/>
    </row>
    <row r="4009" spans="4:11" x14ac:dyDescent="0.2">
      <c r="D4009" s="308"/>
      <c r="E4009" s="291"/>
      <c r="F4009" s="291"/>
      <c r="G4009" s="291"/>
      <c r="H4009" s="287"/>
      <c r="I4009" s="211"/>
      <c r="J4009" s="211"/>
      <c r="K4009" s="288"/>
    </row>
    <row r="4010" spans="4:11" x14ac:dyDescent="0.2">
      <c r="D4010" s="308"/>
      <c r="E4010" s="291"/>
      <c r="F4010" s="291"/>
      <c r="G4010" s="291"/>
      <c r="H4010" s="287"/>
      <c r="I4010" s="211"/>
      <c r="J4010" s="211"/>
      <c r="K4010" s="288"/>
    </row>
    <row r="4011" spans="4:11" x14ac:dyDescent="0.2">
      <c r="D4011" s="308"/>
      <c r="E4011" s="291"/>
      <c r="F4011" s="291"/>
      <c r="G4011" s="291"/>
      <c r="H4011" s="287"/>
      <c r="I4011" s="211"/>
      <c r="J4011" s="211"/>
      <c r="K4011" s="288"/>
    </row>
    <row r="4012" spans="4:11" x14ac:dyDescent="0.2">
      <c r="D4012" s="308"/>
      <c r="E4012" s="291"/>
      <c r="F4012" s="291"/>
      <c r="G4012" s="291"/>
      <c r="H4012" s="287"/>
      <c r="I4012" s="211"/>
      <c r="J4012" s="211"/>
      <c r="K4012" s="288"/>
    </row>
    <row r="4013" spans="4:11" x14ac:dyDescent="0.2">
      <c r="D4013" s="308"/>
      <c r="E4013" s="291"/>
      <c r="F4013" s="291"/>
      <c r="G4013" s="291"/>
      <c r="H4013" s="287"/>
      <c r="I4013" s="211"/>
      <c r="J4013" s="211"/>
      <c r="K4013" s="288"/>
    </row>
    <row r="4014" spans="4:11" x14ac:dyDescent="0.2">
      <c r="D4014" s="308"/>
      <c r="E4014" s="291"/>
      <c r="F4014" s="291"/>
      <c r="G4014" s="291"/>
      <c r="H4014" s="287"/>
      <c r="I4014" s="211"/>
      <c r="J4014" s="211"/>
      <c r="K4014" s="288"/>
    </row>
    <row r="4015" spans="4:11" x14ac:dyDescent="0.2">
      <c r="D4015" s="308"/>
      <c r="E4015" s="291"/>
      <c r="F4015" s="291"/>
      <c r="G4015" s="291"/>
      <c r="H4015" s="287"/>
      <c r="I4015" s="211"/>
      <c r="J4015" s="211"/>
      <c r="K4015" s="288"/>
    </row>
    <row r="4016" spans="4:11" x14ac:dyDescent="0.2">
      <c r="D4016" s="308"/>
      <c r="E4016" s="291"/>
      <c r="F4016" s="291"/>
      <c r="G4016" s="291"/>
      <c r="H4016" s="287"/>
      <c r="I4016" s="211"/>
      <c r="J4016" s="211"/>
      <c r="K4016" s="288"/>
    </row>
    <row r="4017" spans="4:11" x14ac:dyDescent="0.2">
      <c r="D4017" s="308"/>
      <c r="E4017" s="291"/>
      <c r="F4017" s="291"/>
      <c r="G4017" s="291"/>
      <c r="H4017" s="287"/>
      <c r="I4017" s="211"/>
      <c r="J4017" s="211"/>
      <c r="K4017" s="288"/>
    </row>
    <row r="4018" spans="4:11" x14ac:dyDescent="0.2">
      <c r="D4018" s="308"/>
      <c r="E4018" s="291"/>
      <c r="F4018" s="291"/>
      <c r="G4018" s="291"/>
      <c r="H4018" s="287"/>
      <c r="I4018" s="211"/>
      <c r="J4018" s="211"/>
      <c r="K4018" s="288"/>
    </row>
    <row r="4019" spans="4:11" x14ac:dyDescent="0.2">
      <c r="D4019" s="308"/>
      <c r="E4019" s="291"/>
      <c r="F4019" s="291"/>
      <c r="G4019" s="291"/>
      <c r="H4019" s="287"/>
      <c r="I4019" s="211"/>
      <c r="J4019" s="211"/>
      <c r="K4019" s="288"/>
    </row>
    <row r="4020" spans="4:11" x14ac:dyDescent="0.2">
      <c r="D4020" s="308"/>
      <c r="E4020" s="291"/>
      <c r="F4020" s="291"/>
      <c r="G4020" s="291"/>
      <c r="H4020" s="287"/>
      <c r="I4020" s="211"/>
      <c r="J4020" s="211"/>
      <c r="K4020" s="288"/>
    </row>
    <row r="4021" spans="4:11" x14ac:dyDescent="0.2">
      <c r="D4021" s="308"/>
      <c r="E4021" s="291"/>
      <c r="F4021" s="291"/>
      <c r="G4021" s="291"/>
      <c r="H4021" s="287"/>
      <c r="I4021" s="211"/>
      <c r="J4021" s="211"/>
      <c r="K4021" s="288"/>
    </row>
    <row r="4022" spans="4:11" x14ac:dyDescent="0.2">
      <c r="D4022" s="308"/>
      <c r="E4022" s="291"/>
      <c r="F4022" s="291"/>
      <c r="G4022" s="291"/>
      <c r="H4022" s="287"/>
      <c r="I4022" s="211"/>
      <c r="J4022" s="211"/>
      <c r="K4022" s="288"/>
    </row>
    <row r="4023" spans="4:11" x14ac:dyDescent="0.2">
      <c r="D4023" s="308"/>
      <c r="E4023" s="291"/>
      <c r="F4023" s="291"/>
      <c r="G4023" s="291"/>
      <c r="H4023" s="287"/>
      <c r="I4023" s="211"/>
      <c r="J4023" s="211"/>
      <c r="K4023" s="288"/>
    </row>
    <row r="4024" spans="4:11" x14ac:dyDescent="0.2">
      <c r="D4024" s="308"/>
      <c r="E4024" s="291"/>
      <c r="F4024" s="291"/>
      <c r="G4024" s="291"/>
      <c r="H4024" s="287"/>
      <c r="I4024" s="211"/>
      <c r="J4024" s="211"/>
      <c r="K4024" s="288"/>
    </row>
    <row r="4025" spans="4:11" x14ac:dyDescent="0.2">
      <c r="D4025" s="308"/>
      <c r="E4025" s="291"/>
      <c r="F4025" s="291"/>
      <c r="G4025" s="291"/>
      <c r="H4025" s="287"/>
      <c r="I4025" s="211"/>
      <c r="J4025" s="211"/>
      <c r="K4025" s="288"/>
    </row>
    <row r="4026" spans="4:11" x14ac:dyDescent="0.2">
      <c r="D4026" s="308"/>
      <c r="E4026" s="291"/>
      <c r="F4026" s="291"/>
      <c r="G4026" s="291"/>
      <c r="H4026" s="287"/>
      <c r="I4026" s="211"/>
      <c r="J4026" s="211"/>
      <c r="K4026" s="288"/>
    </row>
    <row r="4027" spans="4:11" x14ac:dyDescent="0.2">
      <c r="D4027" s="308"/>
      <c r="E4027" s="291"/>
      <c r="F4027" s="291"/>
      <c r="G4027" s="291"/>
      <c r="H4027" s="287"/>
      <c r="I4027" s="211"/>
      <c r="J4027" s="211"/>
      <c r="K4027" s="288"/>
    </row>
    <row r="4028" spans="4:11" x14ac:dyDescent="0.2">
      <c r="D4028" s="308"/>
      <c r="E4028" s="291"/>
      <c r="F4028" s="291"/>
      <c r="G4028" s="291"/>
      <c r="H4028" s="287"/>
      <c r="I4028" s="211"/>
      <c r="J4028" s="211"/>
      <c r="K4028" s="288"/>
    </row>
    <row r="4029" spans="4:11" x14ac:dyDescent="0.2">
      <c r="D4029" s="308"/>
      <c r="E4029" s="291"/>
      <c r="F4029" s="291"/>
      <c r="G4029" s="291"/>
      <c r="H4029" s="287"/>
      <c r="I4029" s="211"/>
      <c r="J4029" s="211"/>
      <c r="K4029" s="288"/>
    </row>
    <row r="4030" spans="4:11" x14ac:dyDescent="0.2">
      <c r="D4030" s="308"/>
      <c r="E4030" s="291"/>
      <c r="F4030" s="291"/>
      <c r="G4030" s="291"/>
      <c r="H4030" s="287"/>
      <c r="I4030" s="211"/>
      <c r="J4030" s="211"/>
      <c r="K4030" s="288"/>
    </row>
    <row r="4031" spans="4:11" x14ac:dyDescent="0.2">
      <c r="D4031" s="308"/>
      <c r="E4031" s="291"/>
      <c r="F4031" s="291"/>
      <c r="G4031" s="291"/>
      <c r="H4031" s="287"/>
      <c r="I4031" s="211"/>
      <c r="J4031" s="211"/>
      <c r="K4031" s="288"/>
    </row>
    <row r="4032" spans="4:11" x14ac:dyDescent="0.2">
      <c r="D4032" s="308"/>
      <c r="E4032" s="291"/>
      <c r="F4032" s="291"/>
      <c r="G4032" s="291"/>
      <c r="H4032" s="287"/>
      <c r="I4032" s="211"/>
      <c r="J4032" s="211"/>
      <c r="K4032" s="288"/>
    </row>
    <row r="4033" spans="4:11" x14ac:dyDescent="0.2">
      <c r="D4033" s="308"/>
      <c r="E4033" s="291"/>
      <c r="F4033" s="291"/>
      <c r="G4033" s="291"/>
      <c r="H4033" s="287"/>
      <c r="I4033" s="211"/>
      <c r="J4033" s="211"/>
      <c r="K4033" s="288"/>
    </row>
    <row r="4034" spans="4:11" x14ac:dyDescent="0.2">
      <c r="D4034" s="308"/>
      <c r="E4034" s="291"/>
      <c r="F4034" s="291"/>
      <c r="G4034" s="291"/>
      <c r="H4034" s="287"/>
      <c r="I4034" s="211"/>
      <c r="J4034" s="211"/>
      <c r="K4034" s="288"/>
    </row>
    <row r="4035" spans="4:11" x14ac:dyDescent="0.2">
      <c r="D4035" s="308"/>
      <c r="E4035" s="291"/>
      <c r="F4035" s="291"/>
      <c r="G4035" s="291"/>
      <c r="H4035" s="287"/>
      <c r="I4035" s="211"/>
      <c r="J4035" s="211"/>
      <c r="K4035" s="288"/>
    </row>
    <row r="4036" spans="4:11" x14ac:dyDescent="0.2">
      <c r="D4036" s="308"/>
      <c r="E4036" s="291"/>
      <c r="F4036" s="291"/>
      <c r="G4036" s="291"/>
      <c r="H4036" s="287"/>
      <c r="I4036" s="211"/>
      <c r="J4036" s="211"/>
      <c r="K4036" s="288"/>
    </row>
    <row r="4037" spans="4:11" x14ac:dyDescent="0.2">
      <c r="D4037" s="308"/>
      <c r="E4037" s="291"/>
      <c r="F4037" s="291"/>
      <c r="G4037" s="291"/>
      <c r="H4037" s="287"/>
      <c r="I4037" s="211"/>
      <c r="J4037" s="211"/>
      <c r="K4037" s="288"/>
    </row>
    <row r="4038" spans="4:11" x14ac:dyDescent="0.2">
      <c r="D4038" s="308"/>
      <c r="E4038" s="291"/>
      <c r="F4038" s="291"/>
      <c r="G4038" s="291"/>
      <c r="H4038" s="287"/>
      <c r="I4038" s="211"/>
      <c r="J4038" s="211"/>
      <c r="K4038" s="288"/>
    </row>
    <row r="4039" spans="4:11" x14ac:dyDescent="0.2">
      <c r="D4039" s="308"/>
      <c r="E4039" s="291"/>
      <c r="F4039" s="291"/>
      <c r="G4039" s="291"/>
      <c r="H4039" s="287"/>
      <c r="I4039" s="211"/>
      <c r="J4039" s="211"/>
      <c r="K4039" s="288"/>
    </row>
    <row r="4040" spans="4:11" x14ac:dyDescent="0.2">
      <c r="D4040" s="308"/>
      <c r="E4040" s="291"/>
      <c r="F4040" s="291"/>
      <c r="G4040" s="291"/>
      <c r="H4040" s="287"/>
      <c r="I4040" s="211"/>
      <c r="J4040" s="211"/>
      <c r="K4040" s="288"/>
    </row>
    <row r="4041" spans="4:11" x14ac:dyDescent="0.2">
      <c r="D4041" s="308"/>
      <c r="E4041" s="291"/>
      <c r="F4041" s="291"/>
      <c r="G4041" s="291"/>
      <c r="H4041" s="287"/>
      <c r="I4041" s="211"/>
      <c r="J4041" s="211"/>
      <c r="K4041" s="288"/>
    </row>
    <row r="4042" spans="4:11" x14ac:dyDescent="0.2">
      <c r="D4042" s="308"/>
      <c r="E4042" s="291"/>
      <c r="F4042" s="291"/>
      <c r="G4042" s="291"/>
      <c r="H4042" s="287"/>
      <c r="I4042" s="211"/>
      <c r="J4042" s="211"/>
      <c r="K4042" s="288"/>
    </row>
    <row r="4043" spans="4:11" x14ac:dyDescent="0.2">
      <c r="D4043" s="308"/>
      <c r="E4043" s="291"/>
      <c r="F4043" s="291"/>
      <c r="G4043" s="291"/>
      <c r="H4043" s="287"/>
      <c r="I4043" s="211"/>
      <c r="J4043" s="211"/>
      <c r="K4043" s="288"/>
    </row>
    <row r="4044" spans="4:11" x14ac:dyDescent="0.2">
      <c r="D4044" s="308"/>
      <c r="E4044" s="291"/>
      <c r="F4044" s="291"/>
      <c r="G4044" s="291"/>
      <c r="H4044" s="287"/>
      <c r="I4044" s="211"/>
      <c r="J4044" s="211"/>
      <c r="K4044" s="288"/>
    </row>
    <row r="4045" spans="4:11" x14ac:dyDescent="0.2">
      <c r="D4045" s="308"/>
      <c r="E4045" s="291"/>
      <c r="F4045" s="291"/>
      <c r="G4045" s="291"/>
      <c r="H4045" s="287"/>
      <c r="I4045" s="211"/>
      <c r="J4045" s="211"/>
      <c r="K4045" s="288"/>
    </row>
    <row r="4046" spans="4:11" x14ac:dyDescent="0.2">
      <c r="D4046" s="308"/>
      <c r="E4046" s="291"/>
      <c r="F4046" s="291"/>
      <c r="G4046" s="291"/>
      <c r="H4046" s="287"/>
      <c r="I4046" s="211"/>
      <c r="J4046" s="211"/>
      <c r="K4046" s="288"/>
    </row>
    <row r="4047" spans="4:11" x14ac:dyDescent="0.2">
      <c r="D4047" s="308"/>
      <c r="E4047" s="291"/>
      <c r="F4047" s="291"/>
      <c r="G4047" s="291"/>
      <c r="H4047" s="287"/>
      <c r="I4047" s="211"/>
      <c r="J4047" s="211"/>
      <c r="K4047" s="288"/>
    </row>
    <row r="4048" spans="4:11" x14ac:dyDescent="0.2">
      <c r="D4048" s="308"/>
      <c r="E4048" s="291"/>
      <c r="F4048" s="291"/>
      <c r="G4048" s="291"/>
      <c r="H4048" s="287"/>
      <c r="I4048" s="211"/>
      <c r="J4048" s="211"/>
      <c r="K4048" s="288"/>
    </row>
    <row r="4049" spans="4:11" x14ac:dyDescent="0.2">
      <c r="D4049" s="308"/>
      <c r="E4049" s="291"/>
      <c r="F4049" s="291"/>
      <c r="G4049" s="291"/>
      <c r="H4049" s="287"/>
      <c r="I4049" s="211"/>
      <c r="J4049" s="211"/>
      <c r="K4049" s="288"/>
    </row>
    <row r="4050" spans="4:11" x14ac:dyDescent="0.2">
      <c r="D4050" s="308"/>
      <c r="E4050" s="291"/>
      <c r="F4050" s="291"/>
      <c r="G4050" s="291"/>
      <c r="H4050" s="287"/>
      <c r="I4050" s="211"/>
      <c r="J4050" s="211"/>
      <c r="K4050" s="288"/>
    </row>
    <row r="4051" spans="4:11" x14ac:dyDescent="0.2">
      <c r="D4051" s="308"/>
      <c r="E4051" s="291"/>
      <c r="F4051" s="291"/>
      <c r="G4051" s="291"/>
      <c r="H4051" s="287"/>
      <c r="I4051" s="211"/>
      <c r="J4051" s="211"/>
      <c r="K4051" s="288"/>
    </row>
    <row r="4052" spans="4:11" x14ac:dyDescent="0.2">
      <c r="D4052" s="308"/>
      <c r="E4052" s="291"/>
      <c r="F4052" s="291"/>
      <c r="G4052" s="291"/>
      <c r="H4052" s="287"/>
      <c r="I4052" s="211"/>
      <c r="J4052" s="211"/>
      <c r="K4052" s="288"/>
    </row>
    <row r="4053" spans="4:11" x14ac:dyDescent="0.2">
      <c r="D4053" s="308"/>
      <c r="E4053" s="291"/>
      <c r="F4053" s="291"/>
      <c r="G4053" s="291"/>
      <c r="H4053" s="287"/>
      <c r="I4053" s="211"/>
      <c r="J4053" s="211"/>
      <c r="K4053" s="288"/>
    </row>
    <row r="4054" spans="4:11" x14ac:dyDescent="0.2">
      <c r="D4054" s="308"/>
      <c r="E4054" s="291"/>
      <c r="F4054" s="291"/>
      <c r="G4054" s="291"/>
      <c r="H4054" s="287"/>
      <c r="I4054" s="211"/>
      <c r="J4054" s="211"/>
      <c r="K4054" s="288"/>
    </row>
    <row r="4055" spans="4:11" x14ac:dyDescent="0.2">
      <c r="D4055" s="308"/>
      <c r="E4055" s="291"/>
      <c r="F4055" s="291"/>
      <c r="G4055" s="291"/>
      <c r="H4055" s="287"/>
      <c r="I4055" s="211"/>
      <c r="J4055" s="211"/>
      <c r="K4055" s="288"/>
    </row>
    <row r="4056" spans="4:11" x14ac:dyDescent="0.2">
      <c r="D4056" s="308"/>
      <c r="E4056" s="291"/>
      <c r="F4056" s="291"/>
      <c r="G4056" s="291"/>
      <c r="H4056" s="287"/>
      <c r="I4056" s="211"/>
      <c r="J4056" s="211"/>
      <c r="K4056" s="288"/>
    </row>
    <row r="4057" spans="4:11" x14ac:dyDescent="0.2">
      <c r="D4057" s="308"/>
      <c r="E4057" s="291"/>
      <c r="F4057" s="291"/>
      <c r="G4057" s="291"/>
      <c r="H4057" s="287"/>
      <c r="I4057" s="211"/>
      <c r="J4057" s="211"/>
      <c r="K4057" s="288"/>
    </row>
    <row r="4058" spans="4:11" x14ac:dyDescent="0.2">
      <c r="D4058" s="308"/>
      <c r="E4058" s="291"/>
      <c r="F4058" s="291"/>
      <c r="G4058" s="291"/>
      <c r="H4058" s="287"/>
      <c r="I4058" s="211"/>
      <c r="J4058" s="211"/>
      <c r="K4058" s="288"/>
    </row>
    <row r="4059" spans="4:11" x14ac:dyDescent="0.2">
      <c r="D4059" s="308"/>
      <c r="E4059" s="291"/>
      <c r="F4059" s="291"/>
      <c r="G4059" s="291"/>
      <c r="H4059" s="287"/>
      <c r="I4059" s="211"/>
      <c r="J4059" s="211"/>
      <c r="K4059" s="288"/>
    </row>
    <row r="4060" spans="4:11" x14ac:dyDescent="0.2">
      <c r="D4060" s="308"/>
      <c r="E4060" s="291"/>
      <c r="F4060" s="291"/>
      <c r="G4060" s="291"/>
      <c r="H4060" s="287"/>
      <c r="I4060" s="211"/>
      <c r="J4060" s="211"/>
      <c r="K4060" s="288"/>
    </row>
    <row r="4061" spans="4:11" x14ac:dyDescent="0.2">
      <c r="D4061" s="308"/>
      <c r="E4061" s="291"/>
      <c r="F4061" s="291"/>
      <c r="G4061" s="291"/>
      <c r="H4061" s="287"/>
      <c r="I4061" s="211"/>
      <c r="J4061" s="211"/>
      <c r="K4061" s="288"/>
    </row>
    <row r="4062" spans="4:11" x14ac:dyDescent="0.2">
      <c r="D4062" s="308"/>
      <c r="E4062" s="291"/>
      <c r="F4062" s="291"/>
      <c r="G4062" s="291"/>
      <c r="H4062" s="287"/>
      <c r="I4062" s="211"/>
      <c r="J4062" s="211"/>
      <c r="K4062" s="288"/>
    </row>
    <row r="4063" spans="4:11" x14ac:dyDescent="0.2">
      <c r="D4063" s="308"/>
      <c r="E4063" s="291"/>
      <c r="F4063" s="291"/>
      <c r="G4063" s="291"/>
      <c r="H4063" s="287"/>
      <c r="I4063" s="211"/>
      <c r="J4063" s="211"/>
      <c r="K4063" s="288"/>
    </row>
    <row r="4064" spans="4:11" x14ac:dyDescent="0.2">
      <c r="D4064" s="308"/>
      <c r="E4064" s="291"/>
      <c r="F4064" s="291"/>
      <c r="G4064" s="291"/>
      <c r="H4064" s="287"/>
      <c r="I4064" s="211"/>
      <c r="J4064" s="211"/>
      <c r="K4064" s="288"/>
    </row>
    <row r="4065" spans="4:11" x14ac:dyDescent="0.2">
      <c r="D4065" s="308"/>
      <c r="E4065" s="291"/>
      <c r="F4065" s="291"/>
      <c r="G4065" s="291"/>
      <c r="H4065" s="287"/>
      <c r="I4065" s="211"/>
      <c r="J4065" s="211"/>
      <c r="K4065" s="288"/>
    </row>
    <row r="4066" spans="4:11" x14ac:dyDescent="0.2">
      <c r="D4066" s="308"/>
      <c r="E4066" s="291"/>
      <c r="F4066" s="291"/>
      <c r="G4066" s="291"/>
      <c r="H4066" s="287"/>
      <c r="I4066" s="211"/>
      <c r="J4066" s="211"/>
      <c r="K4066" s="288"/>
    </row>
    <row r="4067" spans="4:11" x14ac:dyDescent="0.2">
      <c r="D4067" s="308"/>
      <c r="E4067" s="291"/>
      <c r="F4067" s="291"/>
      <c r="G4067" s="291"/>
      <c r="H4067" s="287"/>
      <c r="I4067" s="211"/>
      <c r="J4067" s="211"/>
      <c r="K4067" s="288"/>
    </row>
    <row r="4068" spans="4:11" x14ac:dyDescent="0.2">
      <c r="D4068" s="308"/>
      <c r="E4068" s="291"/>
      <c r="F4068" s="291"/>
      <c r="G4068" s="291"/>
      <c r="H4068" s="287"/>
      <c r="I4068" s="211"/>
      <c r="J4068" s="211"/>
      <c r="K4068" s="288"/>
    </row>
    <row r="4069" spans="4:11" x14ac:dyDescent="0.2">
      <c r="D4069" s="308"/>
      <c r="E4069" s="291"/>
      <c r="F4069" s="291"/>
      <c r="G4069" s="291"/>
      <c r="H4069" s="287"/>
      <c r="I4069" s="211"/>
      <c r="J4069" s="211"/>
      <c r="K4069" s="288"/>
    </row>
    <row r="4070" spans="4:11" x14ac:dyDescent="0.2">
      <c r="D4070" s="308"/>
      <c r="E4070" s="291"/>
      <c r="F4070" s="291"/>
      <c r="G4070" s="291"/>
      <c r="H4070" s="287"/>
      <c r="I4070" s="211"/>
      <c r="J4070" s="211"/>
      <c r="K4070" s="288"/>
    </row>
    <row r="4071" spans="4:11" x14ac:dyDescent="0.2">
      <c r="D4071" s="308"/>
      <c r="E4071" s="291"/>
      <c r="F4071" s="291"/>
      <c r="G4071" s="291"/>
      <c r="H4071" s="287"/>
      <c r="I4071" s="211"/>
      <c r="J4071" s="211"/>
      <c r="K4071" s="288"/>
    </row>
    <row r="4072" spans="4:11" x14ac:dyDescent="0.2">
      <c r="D4072" s="308"/>
      <c r="E4072" s="291"/>
      <c r="F4072" s="291"/>
      <c r="G4072" s="291"/>
      <c r="H4072" s="287"/>
      <c r="I4072" s="211"/>
      <c r="J4072" s="211"/>
      <c r="K4072" s="288"/>
    </row>
    <row r="4073" spans="4:11" x14ac:dyDescent="0.2">
      <c r="D4073" s="308"/>
      <c r="E4073" s="291"/>
      <c r="F4073" s="291"/>
      <c r="G4073" s="291"/>
      <c r="H4073" s="287"/>
      <c r="I4073" s="211"/>
      <c r="J4073" s="211"/>
      <c r="K4073" s="288"/>
    </row>
    <row r="4074" spans="4:11" x14ac:dyDescent="0.2">
      <c r="D4074" s="308"/>
      <c r="E4074" s="291"/>
      <c r="F4074" s="291"/>
      <c r="G4074" s="291"/>
      <c r="H4074" s="287"/>
      <c r="I4074" s="211"/>
      <c r="J4074" s="211"/>
      <c r="K4074" s="288"/>
    </row>
    <row r="4075" spans="4:11" x14ac:dyDescent="0.2">
      <c r="D4075" s="308"/>
      <c r="E4075" s="291"/>
      <c r="F4075" s="291"/>
      <c r="G4075" s="291"/>
      <c r="H4075" s="287"/>
      <c r="I4075" s="211"/>
      <c r="J4075" s="211"/>
      <c r="K4075" s="288"/>
    </row>
    <row r="4076" spans="4:11" x14ac:dyDescent="0.2">
      <c r="D4076" s="308"/>
      <c r="E4076" s="291"/>
      <c r="F4076" s="291"/>
      <c r="G4076" s="291"/>
      <c r="H4076" s="287"/>
      <c r="I4076" s="211"/>
      <c r="J4076" s="211"/>
      <c r="K4076" s="288"/>
    </row>
    <row r="4077" spans="4:11" x14ac:dyDescent="0.2">
      <c r="D4077" s="308"/>
      <c r="E4077" s="291"/>
      <c r="F4077" s="291"/>
      <c r="G4077" s="291"/>
      <c r="H4077" s="287"/>
      <c r="I4077" s="211"/>
      <c r="J4077" s="211"/>
      <c r="K4077" s="288"/>
    </row>
    <row r="4078" spans="4:11" x14ac:dyDescent="0.2">
      <c r="D4078" s="308"/>
      <c r="E4078" s="291"/>
      <c r="F4078" s="291"/>
      <c r="G4078" s="291"/>
      <c r="H4078" s="287"/>
      <c r="I4078" s="211"/>
      <c r="J4078" s="211"/>
      <c r="K4078" s="288"/>
    </row>
    <row r="4079" spans="4:11" x14ac:dyDescent="0.2">
      <c r="D4079" s="308"/>
      <c r="E4079" s="291"/>
      <c r="F4079" s="291"/>
      <c r="G4079" s="291"/>
      <c r="H4079" s="287"/>
      <c r="I4079" s="211"/>
      <c r="J4079" s="211"/>
      <c r="K4079" s="288"/>
    </row>
    <row r="4080" spans="4:11" x14ac:dyDescent="0.2">
      <c r="D4080" s="308"/>
      <c r="E4080" s="291"/>
      <c r="F4080" s="291"/>
      <c r="G4080" s="291"/>
      <c r="H4080" s="287"/>
      <c r="I4080" s="211"/>
      <c r="J4080" s="211"/>
      <c r="K4080" s="288"/>
    </row>
    <row r="4081" spans="4:11" x14ac:dyDescent="0.2">
      <c r="D4081" s="308"/>
      <c r="E4081" s="291"/>
      <c r="F4081" s="291"/>
      <c r="G4081" s="291"/>
      <c r="H4081" s="287"/>
      <c r="I4081" s="211"/>
      <c r="J4081" s="211"/>
      <c r="K4081" s="288"/>
    </row>
    <row r="4082" spans="4:11" x14ac:dyDescent="0.2">
      <c r="D4082" s="308"/>
      <c r="E4082" s="291"/>
      <c r="F4082" s="291"/>
      <c r="G4082" s="291"/>
      <c r="H4082" s="287"/>
      <c r="I4082" s="211"/>
      <c r="J4082" s="211"/>
      <c r="K4082" s="288"/>
    </row>
    <row r="4083" spans="4:11" x14ac:dyDescent="0.2">
      <c r="D4083" s="308"/>
      <c r="E4083" s="291"/>
      <c r="F4083" s="291"/>
      <c r="G4083" s="291"/>
      <c r="H4083" s="287"/>
      <c r="I4083" s="211"/>
      <c r="J4083" s="211"/>
      <c r="K4083" s="288"/>
    </row>
    <row r="4084" spans="4:11" x14ac:dyDescent="0.2">
      <c r="D4084" s="308"/>
      <c r="E4084" s="291"/>
      <c r="F4084" s="291"/>
      <c r="G4084" s="291"/>
      <c r="H4084" s="287"/>
      <c r="I4084" s="211"/>
      <c r="J4084" s="211"/>
      <c r="K4084" s="288"/>
    </row>
    <row r="4085" spans="4:11" x14ac:dyDescent="0.2">
      <c r="D4085" s="308"/>
      <c r="E4085" s="291"/>
      <c r="F4085" s="291"/>
      <c r="G4085" s="291"/>
      <c r="H4085" s="287"/>
      <c r="I4085" s="211"/>
      <c r="J4085" s="211"/>
      <c r="K4085" s="288"/>
    </row>
    <row r="4086" spans="4:11" x14ac:dyDescent="0.2">
      <c r="D4086" s="308"/>
      <c r="E4086" s="291"/>
      <c r="F4086" s="291"/>
      <c r="G4086" s="291"/>
      <c r="H4086" s="287"/>
      <c r="I4086" s="211"/>
      <c r="J4086" s="211"/>
      <c r="K4086" s="288"/>
    </row>
    <row r="4087" spans="4:11" x14ac:dyDescent="0.2">
      <c r="D4087" s="308"/>
      <c r="E4087" s="291"/>
      <c r="F4087" s="291"/>
      <c r="G4087" s="291"/>
      <c r="H4087" s="287"/>
      <c r="I4087" s="211"/>
      <c r="J4087" s="211"/>
      <c r="K4087" s="288"/>
    </row>
    <row r="4088" spans="4:11" x14ac:dyDescent="0.2">
      <c r="D4088" s="308"/>
      <c r="E4088" s="291"/>
      <c r="F4088" s="291"/>
      <c r="G4088" s="291"/>
      <c r="H4088" s="287"/>
      <c r="I4088" s="211"/>
      <c r="J4088" s="211"/>
      <c r="K4088" s="288"/>
    </row>
    <row r="4089" spans="4:11" x14ac:dyDescent="0.2">
      <c r="D4089" s="308"/>
      <c r="E4089" s="291"/>
      <c r="F4089" s="291"/>
      <c r="G4089" s="291"/>
      <c r="H4089" s="287"/>
      <c r="I4089" s="211"/>
      <c r="J4089" s="211"/>
      <c r="K4089" s="288"/>
    </row>
    <row r="4090" spans="4:11" x14ac:dyDescent="0.2">
      <c r="D4090" s="308"/>
      <c r="E4090" s="291"/>
      <c r="F4090" s="291"/>
      <c r="G4090" s="291"/>
      <c r="H4090" s="287"/>
      <c r="I4090" s="211"/>
      <c r="J4090" s="211"/>
      <c r="K4090" s="288"/>
    </row>
    <row r="4091" spans="4:11" x14ac:dyDescent="0.2">
      <c r="D4091" s="308"/>
      <c r="E4091" s="291"/>
      <c r="F4091" s="291"/>
      <c r="G4091" s="291"/>
      <c r="H4091" s="287"/>
      <c r="I4091" s="211"/>
      <c r="J4091" s="211"/>
      <c r="K4091" s="288"/>
    </row>
    <row r="4092" spans="4:11" x14ac:dyDescent="0.2">
      <c r="D4092" s="308"/>
      <c r="E4092" s="291"/>
      <c r="F4092" s="291"/>
      <c r="G4092" s="291"/>
      <c r="H4092" s="287"/>
      <c r="I4092" s="211"/>
      <c r="J4092" s="211"/>
      <c r="K4092" s="288"/>
    </row>
    <row r="4093" spans="4:11" x14ac:dyDescent="0.2">
      <c r="D4093" s="308"/>
      <c r="E4093" s="291"/>
      <c r="F4093" s="291"/>
      <c r="G4093" s="291"/>
      <c r="H4093" s="287"/>
      <c r="I4093" s="211"/>
      <c r="J4093" s="211"/>
      <c r="K4093" s="288"/>
    </row>
    <row r="4094" spans="4:11" x14ac:dyDescent="0.2">
      <c r="D4094" s="308"/>
      <c r="E4094" s="291"/>
      <c r="F4094" s="291"/>
      <c r="G4094" s="291"/>
      <c r="H4094" s="287"/>
      <c r="I4094" s="211"/>
      <c r="J4094" s="211"/>
      <c r="K4094" s="288"/>
    </row>
    <row r="4095" spans="4:11" x14ac:dyDescent="0.2">
      <c r="D4095" s="308"/>
      <c r="E4095" s="291"/>
      <c r="F4095" s="291"/>
      <c r="G4095" s="291"/>
      <c r="H4095" s="287"/>
      <c r="I4095" s="211"/>
      <c r="J4095" s="211"/>
      <c r="K4095" s="288"/>
    </row>
    <row r="4096" spans="4:11" x14ac:dyDescent="0.2">
      <c r="D4096" s="308"/>
      <c r="E4096" s="291"/>
      <c r="F4096" s="291"/>
      <c r="G4096" s="291"/>
      <c r="H4096" s="287"/>
      <c r="I4096" s="211"/>
      <c r="J4096" s="211"/>
      <c r="K4096" s="288"/>
    </row>
    <row r="4097" spans="4:11" x14ac:dyDescent="0.2">
      <c r="D4097" s="308"/>
      <c r="E4097" s="291"/>
      <c r="F4097" s="291"/>
      <c r="G4097" s="291"/>
      <c r="H4097" s="287"/>
      <c r="I4097" s="211"/>
      <c r="J4097" s="211"/>
      <c r="K4097" s="288"/>
    </row>
    <row r="4098" spans="4:11" x14ac:dyDescent="0.2">
      <c r="D4098" s="308"/>
      <c r="E4098" s="291"/>
      <c r="F4098" s="291"/>
      <c r="G4098" s="291"/>
      <c r="H4098" s="287"/>
      <c r="I4098" s="211"/>
      <c r="J4098" s="211"/>
      <c r="K4098" s="288"/>
    </row>
    <row r="4099" spans="4:11" x14ac:dyDescent="0.2">
      <c r="D4099" s="308"/>
      <c r="E4099" s="291"/>
      <c r="F4099" s="291"/>
      <c r="G4099" s="291"/>
      <c r="H4099" s="287"/>
      <c r="I4099" s="211"/>
      <c r="J4099" s="211"/>
      <c r="K4099" s="288"/>
    </row>
    <row r="4100" spans="4:11" x14ac:dyDescent="0.2">
      <c r="D4100" s="308"/>
      <c r="E4100" s="291"/>
      <c r="F4100" s="291"/>
      <c r="G4100" s="291"/>
      <c r="H4100" s="287"/>
      <c r="I4100" s="211"/>
      <c r="J4100" s="211"/>
      <c r="K4100" s="288"/>
    </row>
    <row r="4101" spans="4:11" x14ac:dyDescent="0.2">
      <c r="D4101" s="308"/>
      <c r="E4101" s="291"/>
      <c r="F4101" s="291"/>
      <c r="G4101" s="291"/>
      <c r="H4101" s="287"/>
      <c r="I4101" s="211"/>
      <c r="J4101" s="211"/>
      <c r="K4101" s="288"/>
    </row>
    <row r="4102" spans="4:11" x14ac:dyDescent="0.2">
      <c r="D4102" s="308"/>
      <c r="E4102" s="291"/>
      <c r="F4102" s="291"/>
      <c r="G4102" s="291"/>
      <c r="H4102" s="287"/>
      <c r="I4102" s="211"/>
      <c r="J4102" s="211"/>
      <c r="K4102" s="288"/>
    </row>
    <row r="4103" spans="4:11" x14ac:dyDescent="0.2">
      <c r="D4103" s="308"/>
      <c r="E4103" s="291"/>
      <c r="F4103" s="291"/>
      <c r="G4103" s="291"/>
      <c r="H4103" s="287"/>
      <c r="I4103" s="211"/>
      <c r="J4103" s="211"/>
      <c r="K4103" s="288"/>
    </row>
    <row r="4104" spans="4:11" x14ac:dyDescent="0.2">
      <c r="D4104" s="308"/>
      <c r="E4104" s="291"/>
      <c r="F4104" s="291"/>
      <c r="G4104" s="291"/>
      <c r="H4104" s="287"/>
      <c r="I4104" s="211"/>
      <c r="J4104" s="211"/>
      <c r="K4104" s="288"/>
    </row>
    <row r="4105" spans="4:11" x14ac:dyDescent="0.2">
      <c r="D4105" s="308"/>
      <c r="E4105" s="291"/>
      <c r="F4105" s="291"/>
      <c r="G4105" s="291"/>
      <c r="H4105" s="287"/>
      <c r="I4105" s="211"/>
      <c r="J4105" s="211"/>
      <c r="K4105" s="288"/>
    </row>
    <row r="4106" spans="4:11" x14ac:dyDescent="0.2">
      <c r="D4106" s="308"/>
      <c r="E4106" s="291"/>
      <c r="F4106" s="291"/>
      <c r="G4106" s="291"/>
      <c r="H4106" s="287"/>
      <c r="I4106" s="211"/>
      <c r="J4106" s="211"/>
      <c r="K4106" s="288"/>
    </row>
    <row r="4107" spans="4:11" x14ac:dyDescent="0.2">
      <c r="D4107" s="308"/>
      <c r="E4107" s="291"/>
      <c r="F4107" s="291"/>
      <c r="G4107" s="291"/>
      <c r="H4107" s="287"/>
      <c r="I4107" s="211"/>
      <c r="J4107" s="211"/>
      <c r="K4107" s="288"/>
    </row>
    <row r="4108" spans="4:11" x14ac:dyDescent="0.2">
      <c r="D4108" s="308"/>
      <c r="E4108" s="291"/>
      <c r="F4108" s="291"/>
      <c r="G4108" s="291"/>
      <c r="H4108" s="287"/>
      <c r="I4108" s="211"/>
      <c r="J4108" s="211"/>
      <c r="K4108" s="288"/>
    </row>
    <row r="4109" spans="4:11" x14ac:dyDescent="0.2">
      <c r="D4109" s="308"/>
      <c r="E4109" s="291"/>
      <c r="F4109" s="291"/>
      <c r="G4109" s="291"/>
      <c r="H4109" s="287"/>
      <c r="I4109" s="211"/>
      <c r="J4109" s="211"/>
      <c r="K4109" s="288"/>
    </row>
    <row r="4110" spans="4:11" x14ac:dyDescent="0.2">
      <c r="D4110" s="308"/>
      <c r="E4110" s="291"/>
      <c r="F4110" s="291"/>
      <c r="G4110" s="291"/>
      <c r="H4110" s="287"/>
      <c r="I4110" s="211"/>
      <c r="J4110" s="211"/>
      <c r="K4110" s="288"/>
    </row>
    <row r="4111" spans="4:11" x14ac:dyDescent="0.2">
      <c r="D4111" s="308"/>
      <c r="E4111" s="291"/>
      <c r="F4111" s="291"/>
      <c r="G4111" s="291"/>
      <c r="H4111" s="287"/>
      <c r="I4111" s="211"/>
      <c r="J4111" s="211"/>
      <c r="K4111" s="288"/>
    </row>
    <row r="4112" spans="4:11" x14ac:dyDescent="0.2">
      <c r="D4112" s="308"/>
      <c r="E4112" s="291"/>
      <c r="F4112" s="291"/>
      <c r="G4112" s="291"/>
      <c r="H4112" s="287"/>
      <c r="I4112" s="211"/>
      <c r="J4112" s="211"/>
      <c r="K4112" s="288"/>
    </row>
    <row r="4113" spans="4:11" x14ac:dyDescent="0.2">
      <c r="D4113" s="308"/>
      <c r="E4113" s="291"/>
      <c r="F4113" s="291"/>
      <c r="G4113" s="291"/>
      <c r="H4113" s="287"/>
      <c r="I4113" s="211"/>
      <c r="J4113" s="211"/>
      <c r="K4113" s="288"/>
    </row>
    <row r="4114" spans="4:11" x14ac:dyDescent="0.2">
      <c r="D4114" s="308"/>
      <c r="E4114" s="291"/>
      <c r="F4114" s="291"/>
      <c r="G4114" s="291"/>
      <c r="H4114" s="287"/>
      <c r="I4114" s="211"/>
      <c r="J4114" s="211"/>
      <c r="K4114" s="288"/>
    </row>
    <row r="4115" spans="4:11" x14ac:dyDescent="0.2">
      <c r="D4115" s="308"/>
      <c r="E4115" s="291"/>
      <c r="F4115" s="291"/>
      <c r="G4115" s="291"/>
      <c r="H4115" s="287"/>
      <c r="I4115" s="211"/>
      <c r="J4115" s="211"/>
      <c r="K4115" s="288"/>
    </row>
    <row r="4116" spans="4:11" x14ac:dyDescent="0.2">
      <c r="D4116" s="308"/>
      <c r="E4116" s="291"/>
      <c r="F4116" s="291"/>
      <c r="G4116" s="291"/>
      <c r="H4116" s="287"/>
      <c r="I4116" s="211"/>
      <c r="J4116" s="211"/>
      <c r="K4116" s="288"/>
    </row>
    <row r="4117" spans="4:11" x14ac:dyDescent="0.2">
      <c r="D4117" s="308"/>
      <c r="E4117" s="291"/>
      <c r="F4117" s="291"/>
      <c r="G4117" s="291"/>
      <c r="H4117" s="287"/>
      <c r="I4117" s="211"/>
      <c r="J4117" s="211"/>
      <c r="K4117" s="288"/>
    </row>
    <row r="4118" spans="4:11" x14ac:dyDescent="0.2">
      <c r="D4118" s="308"/>
      <c r="E4118" s="291"/>
      <c r="F4118" s="291"/>
      <c r="G4118" s="291"/>
      <c r="H4118" s="287"/>
      <c r="I4118" s="211"/>
      <c r="J4118" s="211"/>
      <c r="K4118" s="288"/>
    </row>
    <row r="4119" spans="4:11" x14ac:dyDescent="0.2">
      <c r="D4119" s="308"/>
      <c r="E4119" s="291"/>
      <c r="F4119" s="291"/>
      <c r="G4119" s="291"/>
      <c r="H4119" s="287"/>
      <c r="I4119" s="211"/>
      <c r="J4119" s="211"/>
      <c r="K4119" s="288"/>
    </row>
    <row r="4120" spans="4:11" x14ac:dyDescent="0.2">
      <c r="D4120" s="308"/>
      <c r="E4120" s="291"/>
      <c r="F4120" s="291"/>
      <c r="G4120" s="291"/>
      <c r="H4120" s="287"/>
      <c r="I4120" s="211"/>
      <c r="J4120" s="211"/>
      <c r="K4120" s="288"/>
    </row>
    <row r="4121" spans="4:11" x14ac:dyDescent="0.2">
      <c r="D4121" s="308"/>
      <c r="E4121" s="291"/>
      <c r="F4121" s="291"/>
      <c r="G4121" s="291"/>
      <c r="H4121" s="287"/>
      <c r="I4121" s="211"/>
      <c r="J4121" s="211"/>
      <c r="K4121" s="288"/>
    </row>
    <row r="4122" spans="4:11" x14ac:dyDescent="0.2">
      <c r="D4122" s="308"/>
      <c r="E4122" s="291"/>
      <c r="F4122" s="291"/>
      <c r="G4122" s="291"/>
      <c r="H4122" s="287"/>
      <c r="I4122" s="211"/>
      <c r="J4122" s="211"/>
      <c r="K4122" s="288"/>
    </row>
    <row r="4123" spans="4:11" x14ac:dyDescent="0.2">
      <c r="D4123" s="308"/>
      <c r="E4123" s="291"/>
      <c r="F4123" s="291"/>
      <c r="G4123" s="291"/>
      <c r="H4123" s="287"/>
      <c r="I4123" s="211"/>
      <c r="J4123" s="211"/>
      <c r="K4123" s="288"/>
    </row>
    <row r="4124" spans="4:11" x14ac:dyDescent="0.2">
      <c r="D4124" s="308"/>
      <c r="E4124" s="291"/>
      <c r="F4124" s="291"/>
      <c r="G4124" s="291"/>
      <c r="H4124" s="287"/>
      <c r="I4124" s="211"/>
      <c r="J4124" s="211"/>
      <c r="K4124" s="288"/>
    </row>
    <row r="4125" spans="4:11" x14ac:dyDescent="0.2">
      <c r="D4125" s="308"/>
      <c r="E4125" s="291"/>
      <c r="F4125" s="291"/>
      <c r="G4125" s="291"/>
      <c r="H4125" s="287"/>
      <c r="I4125" s="211"/>
      <c r="J4125" s="211"/>
      <c r="K4125" s="288"/>
    </row>
    <row r="4126" spans="4:11" x14ac:dyDescent="0.2">
      <c r="D4126" s="308"/>
      <c r="E4126" s="291"/>
      <c r="F4126" s="291"/>
      <c r="G4126" s="291"/>
      <c r="H4126" s="287"/>
      <c r="I4126" s="211"/>
      <c r="J4126" s="211"/>
      <c r="K4126" s="288"/>
    </row>
    <row r="4127" spans="4:11" x14ac:dyDescent="0.2">
      <c r="D4127" s="308"/>
      <c r="E4127" s="291"/>
      <c r="F4127" s="291"/>
      <c r="G4127" s="291"/>
      <c r="H4127" s="287"/>
      <c r="I4127" s="211"/>
      <c r="J4127" s="211"/>
      <c r="K4127" s="288"/>
    </row>
    <row r="4128" spans="4:11" x14ac:dyDescent="0.2">
      <c r="D4128" s="308"/>
      <c r="E4128" s="291"/>
      <c r="F4128" s="291"/>
      <c r="G4128" s="291"/>
      <c r="H4128" s="287"/>
      <c r="I4128" s="211"/>
      <c r="J4128" s="211"/>
      <c r="K4128" s="288"/>
    </row>
    <row r="4129" spans="4:11" x14ac:dyDescent="0.2">
      <c r="D4129" s="308"/>
      <c r="E4129" s="291"/>
      <c r="F4129" s="291"/>
      <c r="G4129" s="291"/>
      <c r="H4129" s="287"/>
      <c r="I4129" s="211"/>
      <c r="J4129" s="211"/>
      <c r="K4129" s="288"/>
    </row>
    <row r="4130" spans="4:11" x14ac:dyDescent="0.2">
      <c r="D4130" s="308"/>
      <c r="E4130" s="291"/>
      <c r="F4130" s="291"/>
      <c r="G4130" s="291"/>
      <c r="H4130" s="287"/>
      <c r="I4130" s="211"/>
      <c r="J4130" s="211"/>
      <c r="K4130" s="288"/>
    </row>
    <row r="4131" spans="4:11" x14ac:dyDescent="0.2">
      <c r="D4131" s="308"/>
      <c r="E4131" s="291"/>
      <c r="F4131" s="291"/>
      <c r="G4131" s="291"/>
      <c r="H4131" s="287"/>
      <c r="I4131" s="211"/>
      <c r="J4131" s="211"/>
      <c r="K4131" s="288"/>
    </row>
    <row r="4132" spans="4:11" x14ac:dyDescent="0.2">
      <c r="D4132" s="308"/>
      <c r="E4132" s="291"/>
      <c r="F4132" s="291"/>
      <c r="G4132" s="291"/>
      <c r="H4132" s="287"/>
      <c r="I4132" s="211"/>
      <c r="J4132" s="211"/>
      <c r="K4132" s="288"/>
    </row>
    <row r="4133" spans="4:11" x14ac:dyDescent="0.2">
      <c r="D4133" s="308"/>
      <c r="E4133" s="291"/>
      <c r="F4133" s="291"/>
      <c r="G4133" s="291"/>
      <c r="H4133" s="287"/>
      <c r="I4133" s="211"/>
      <c r="J4133" s="211"/>
      <c r="K4133" s="288"/>
    </row>
    <row r="4134" spans="4:11" x14ac:dyDescent="0.2">
      <c r="D4134" s="308"/>
      <c r="E4134" s="291"/>
      <c r="F4134" s="291"/>
      <c r="G4134" s="291"/>
      <c r="H4134" s="287"/>
      <c r="I4134" s="211"/>
      <c r="J4134" s="211"/>
      <c r="K4134" s="288"/>
    </row>
    <row r="4135" spans="4:11" x14ac:dyDescent="0.2">
      <c r="D4135" s="308"/>
      <c r="E4135" s="291"/>
      <c r="F4135" s="291"/>
      <c r="G4135" s="291"/>
      <c r="H4135" s="287"/>
      <c r="I4135" s="211"/>
      <c r="J4135" s="211"/>
      <c r="K4135" s="288"/>
    </row>
    <row r="4136" spans="4:11" x14ac:dyDescent="0.2">
      <c r="D4136" s="308"/>
      <c r="E4136" s="291"/>
      <c r="F4136" s="291"/>
      <c r="G4136" s="291"/>
      <c r="H4136" s="287"/>
      <c r="I4136" s="211"/>
      <c r="J4136" s="211"/>
      <c r="K4136" s="288"/>
    </row>
    <row r="4137" spans="4:11" x14ac:dyDescent="0.2">
      <c r="D4137" s="308"/>
      <c r="E4137" s="291"/>
      <c r="F4137" s="291"/>
      <c r="G4137" s="291"/>
      <c r="H4137" s="287"/>
      <c r="I4137" s="211"/>
      <c r="J4137" s="211"/>
      <c r="K4137" s="288"/>
    </row>
    <row r="4138" spans="4:11" x14ac:dyDescent="0.2">
      <c r="D4138" s="308"/>
      <c r="E4138" s="291"/>
      <c r="F4138" s="291"/>
      <c r="G4138" s="291"/>
      <c r="H4138" s="287"/>
      <c r="I4138" s="211"/>
      <c r="J4138" s="211"/>
      <c r="K4138" s="288"/>
    </row>
    <row r="4139" spans="4:11" x14ac:dyDescent="0.2">
      <c r="D4139" s="308"/>
      <c r="E4139" s="291"/>
      <c r="F4139" s="291"/>
      <c r="G4139" s="291"/>
      <c r="H4139" s="287"/>
      <c r="I4139" s="211"/>
      <c r="J4139" s="211"/>
      <c r="K4139" s="288"/>
    </row>
    <row r="4140" spans="4:11" x14ac:dyDescent="0.2">
      <c r="D4140" s="308"/>
      <c r="E4140" s="291"/>
      <c r="F4140" s="291"/>
      <c r="G4140" s="291"/>
      <c r="H4140" s="287"/>
      <c r="I4140" s="211"/>
      <c r="J4140" s="211"/>
      <c r="K4140" s="288"/>
    </row>
    <row r="4141" spans="4:11" x14ac:dyDescent="0.2">
      <c r="D4141" s="308"/>
      <c r="E4141" s="291"/>
      <c r="F4141" s="291"/>
      <c r="G4141" s="291"/>
      <c r="H4141" s="287"/>
      <c r="I4141" s="211"/>
      <c r="J4141" s="211"/>
      <c r="K4141" s="288"/>
    </row>
    <row r="4142" spans="4:11" x14ac:dyDescent="0.2">
      <c r="D4142" s="308"/>
      <c r="E4142" s="291"/>
      <c r="F4142" s="291"/>
      <c r="G4142" s="291"/>
      <c r="H4142" s="287"/>
      <c r="I4142" s="211"/>
      <c r="J4142" s="211"/>
      <c r="K4142" s="288"/>
    </row>
    <row r="4143" spans="4:11" x14ac:dyDescent="0.2">
      <c r="D4143" s="308"/>
      <c r="E4143" s="291"/>
      <c r="F4143" s="291"/>
      <c r="G4143" s="291"/>
      <c r="H4143" s="287"/>
      <c r="I4143" s="211"/>
      <c r="J4143" s="211"/>
      <c r="K4143" s="288"/>
    </row>
    <row r="4144" spans="4:11" x14ac:dyDescent="0.2">
      <c r="D4144" s="308"/>
      <c r="E4144" s="291"/>
      <c r="F4144" s="291"/>
      <c r="G4144" s="291"/>
      <c r="H4144" s="287"/>
      <c r="I4144" s="211"/>
      <c r="J4144" s="211"/>
      <c r="K4144" s="288"/>
    </row>
    <row r="4145" spans="4:11" x14ac:dyDescent="0.2">
      <c r="D4145" s="308"/>
      <c r="E4145" s="291"/>
      <c r="F4145" s="291"/>
      <c r="G4145" s="291"/>
      <c r="H4145" s="287"/>
      <c r="I4145" s="211"/>
      <c r="J4145" s="211"/>
      <c r="K4145" s="288"/>
    </row>
    <row r="4146" spans="4:11" x14ac:dyDescent="0.2">
      <c r="D4146" s="308"/>
      <c r="E4146" s="291"/>
      <c r="F4146" s="291"/>
      <c r="G4146" s="291"/>
      <c r="H4146" s="287"/>
      <c r="I4146" s="211"/>
      <c r="J4146" s="211"/>
      <c r="K4146" s="288"/>
    </row>
    <row r="4147" spans="4:11" x14ac:dyDescent="0.2">
      <c r="D4147" s="308"/>
      <c r="E4147" s="291"/>
      <c r="F4147" s="291"/>
      <c r="G4147" s="291"/>
      <c r="H4147" s="287"/>
      <c r="I4147" s="211"/>
      <c r="J4147" s="211"/>
      <c r="K4147" s="288"/>
    </row>
    <row r="4148" spans="4:11" x14ac:dyDescent="0.2">
      <c r="D4148" s="308"/>
      <c r="E4148" s="291"/>
      <c r="F4148" s="291"/>
      <c r="G4148" s="291"/>
      <c r="H4148" s="287"/>
      <c r="I4148" s="211"/>
      <c r="J4148" s="211"/>
      <c r="K4148" s="288"/>
    </row>
    <row r="4149" spans="4:11" x14ac:dyDescent="0.2">
      <c r="D4149" s="308"/>
      <c r="E4149" s="291"/>
      <c r="F4149" s="291"/>
      <c r="G4149" s="291"/>
      <c r="H4149" s="287"/>
      <c r="I4149" s="211"/>
      <c r="J4149" s="211"/>
      <c r="K4149" s="288"/>
    </row>
    <row r="4150" spans="4:11" x14ac:dyDescent="0.2">
      <c r="D4150" s="308"/>
      <c r="E4150" s="291"/>
      <c r="F4150" s="291"/>
      <c r="G4150" s="291"/>
      <c r="H4150" s="287"/>
      <c r="I4150" s="211"/>
      <c r="J4150" s="211"/>
      <c r="K4150" s="288"/>
    </row>
    <row r="4151" spans="4:11" x14ac:dyDescent="0.2">
      <c r="D4151" s="308"/>
      <c r="E4151" s="291"/>
      <c r="F4151" s="291"/>
      <c r="G4151" s="291"/>
      <c r="H4151" s="287"/>
      <c r="I4151" s="211"/>
      <c r="J4151" s="211"/>
      <c r="K4151" s="288"/>
    </row>
    <row r="4152" spans="4:11" x14ac:dyDescent="0.2">
      <c r="D4152" s="308"/>
      <c r="E4152" s="291"/>
      <c r="F4152" s="291"/>
      <c r="G4152" s="291"/>
      <c r="H4152" s="287"/>
      <c r="I4152" s="211"/>
      <c r="J4152" s="211"/>
      <c r="K4152" s="288"/>
    </row>
    <row r="4153" spans="4:11" x14ac:dyDescent="0.2">
      <c r="D4153" s="308"/>
      <c r="E4153" s="291"/>
      <c r="F4153" s="291"/>
      <c r="G4153" s="291"/>
      <c r="H4153" s="287"/>
      <c r="I4153" s="211"/>
      <c r="J4153" s="211"/>
      <c r="K4153" s="288"/>
    </row>
    <row r="4154" spans="4:11" x14ac:dyDescent="0.2">
      <c r="D4154" s="308"/>
      <c r="E4154" s="291"/>
      <c r="F4154" s="291"/>
      <c r="G4154" s="291"/>
      <c r="H4154" s="287"/>
      <c r="I4154" s="211"/>
      <c r="J4154" s="211"/>
      <c r="K4154" s="288"/>
    </row>
    <row r="4155" spans="4:11" x14ac:dyDescent="0.2">
      <c r="D4155" s="308"/>
      <c r="E4155" s="291"/>
      <c r="F4155" s="291"/>
      <c r="G4155" s="291"/>
      <c r="H4155" s="287"/>
      <c r="I4155" s="211"/>
      <c r="J4155" s="211"/>
      <c r="K4155" s="288"/>
    </row>
    <row r="4156" spans="4:11" x14ac:dyDescent="0.2">
      <c r="D4156" s="308"/>
      <c r="E4156" s="291"/>
      <c r="F4156" s="291"/>
      <c r="G4156" s="291"/>
      <c r="H4156" s="287"/>
      <c r="I4156" s="211"/>
      <c r="J4156" s="211"/>
      <c r="K4156" s="288"/>
    </row>
    <row r="4157" spans="4:11" x14ac:dyDescent="0.2">
      <c r="D4157" s="308"/>
      <c r="E4157" s="291"/>
      <c r="F4157" s="291"/>
      <c r="G4157" s="291"/>
      <c r="H4157" s="287"/>
      <c r="I4157" s="211"/>
      <c r="J4157" s="211"/>
      <c r="K4157" s="288"/>
    </row>
    <row r="4158" spans="4:11" x14ac:dyDescent="0.2">
      <c r="D4158" s="308"/>
      <c r="E4158" s="291"/>
      <c r="F4158" s="291"/>
      <c r="G4158" s="291"/>
      <c r="H4158" s="287"/>
      <c r="I4158" s="211"/>
      <c r="J4158" s="211"/>
      <c r="K4158" s="288"/>
    </row>
    <row r="4159" spans="4:11" x14ac:dyDescent="0.2">
      <c r="D4159" s="308"/>
      <c r="E4159" s="291"/>
      <c r="F4159" s="291"/>
      <c r="G4159" s="291"/>
      <c r="H4159" s="287"/>
      <c r="I4159" s="211"/>
      <c r="J4159" s="211"/>
      <c r="K4159" s="288"/>
    </row>
    <row r="4160" spans="4:11" x14ac:dyDescent="0.2">
      <c r="D4160" s="308"/>
      <c r="E4160" s="291"/>
      <c r="F4160" s="291"/>
      <c r="G4160" s="291"/>
      <c r="H4160" s="287"/>
      <c r="I4160" s="211"/>
      <c r="J4160" s="211"/>
      <c r="K4160" s="288"/>
    </row>
    <row r="4161" spans="4:11" x14ac:dyDescent="0.2">
      <c r="D4161" s="308"/>
      <c r="E4161" s="291"/>
      <c r="F4161" s="291"/>
      <c r="G4161" s="291"/>
      <c r="H4161" s="287"/>
      <c r="I4161" s="211"/>
      <c r="J4161" s="211"/>
      <c r="K4161" s="288"/>
    </row>
    <row r="4162" spans="4:11" x14ac:dyDescent="0.2">
      <c r="D4162" s="308"/>
      <c r="E4162" s="291"/>
      <c r="F4162" s="291"/>
      <c r="G4162" s="291"/>
      <c r="H4162" s="287"/>
      <c r="I4162" s="211"/>
      <c r="J4162" s="211"/>
      <c r="K4162" s="288"/>
    </row>
    <row r="4163" spans="4:11" x14ac:dyDescent="0.2">
      <c r="D4163" s="308"/>
      <c r="E4163" s="291"/>
      <c r="F4163" s="291"/>
      <c r="G4163" s="291"/>
      <c r="H4163" s="287"/>
      <c r="I4163" s="211"/>
      <c r="J4163" s="211"/>
      <c r="K4163" s="288"/>
    </row>
    <row r="4164" spans="4:11" x14ac:dyDescent="0.2">
      <c r="D4164" s="308"/>
      <c r="E4164" s="291"/>
      <c r="F4164" s="291"/>
      <c r="G4164" s="291"/>
      <c r="H4164" s="287"/>
      <c r="I4164" s="211"/>
      <c r="J4164" s="211"/>
      <c r="K4164" s="288"/>
    </row>
    <row r="4165" spans="4:11" x14ac:dyDescent="0.2">
      <c r="D4165" s="308"/>
      <c r="E4165" s="291"/>
      <c r="F4165" s="291"/>
      <c r="G4165" s="291"/>
      <c r="H4165" s="287"/>
      <c r="I4165" s="211"/>
      <c r="J4165" s="211"/>
      <c r="K4165" s="288"/>
    </row>
    <row r="4166" spans="4:11" x14ac:dyDescent="0.2">
      <c r="D4166" s="308"/>
      <c r="E4166" s="291"/>
      <c r="F4166" s="291"/>
      <c r="G4166" s="291"/>
      <c r="H4166" s="287"/>
      <c r="I4166" s="211"/>
      <c r="J4166" s="211"/>
      <c r="K4166" s="288"/>
    </row>
    <row r="4167" spans="4:11" x14ac:dyDescent="0.2">
      <c r="D4167" s="308"/>
      <c r="E4167" s="291"/>
      <c r="F4167" s="291"/>
      <c r="G4167" s="291"/>
      <c r="H4167" s="287"/>
      <c r="I4167" s="211"/>
      <c r="J4167" s="211"/>
      <c r="K4167" s="288"/>
    </row>
    <row r="4168" spans="4:11" x14ac:dyDescent="0.2">
      <c r="D4168" s="308"/>
      <c r="E4168" s="291"/>
      <c r="F4168" s="291"/>
      <c r="G4168" s="291"/>
      <c r="H4168" s="287"/>
      <c r="I4168" s="211"/>
      <c r="J4168" s="211"/>
      <c r="K4168" s="288"/>
    </row>
    <row r="4169" spans="4:11" x14ac:dyDescent="0.2">
      <c r="D4169" s="308"/>
      <c r="E4169" s="291"/>
      <c r="F4169" s="291"/>
      <c r="G4169" s="291"/>
      <c r="H4169" s="287"/>
      <c r="I4169" s="211"/>
      <c r="J4169" s="211"/>
      <c r="K4169" s="288"/>
    </row>
    <row r="4170" spans="4:11" x14ac:dyDescent="0.2">
      <c r="D4170" s="308"/>
      <c r="E4170" s="291"/>
      <c r="F4170" s="291"/>
      <c r="G4170" s="291"/>
      <c r="H4170" s="287"/>
      <c r="I4170" s="211"/>
      <c r="J4170" s="211"/>
      <c r="K4170" s="288"/>
    </row>
    <row r="4171" spans="4:11" x14ac:dyDescent="0.2">
      <c r="D4171" s="308"/>
      <c r="E4171" s="291"/>
      <c r="F4171" s="291"/>
      <c r="G4171" s="291"/>
      <c r="H4171" s="287"/>
      <c r="I4171" s="211"/>
      <c r="J4171" s="211"/>
      <c r="K4171" s="288"/>
    </row>
    <row r="4172" spans="4:11" x14ac:dyDescent="0.2">
      <c r="D4172" s="308"/>
      <c r="E4172" s="291"/>
      <c r="F4172" s="291"/>
      <c r="G4172" s="291"/>
      <c r="H4172" s="287"/>
      <c r="I4172" s="211"/>
      <c r="J4172" s="211"/>
      <c r="K4172" s="288"/>
    </row>
    <row r="4173" spans="4:11" x14ac:dyDescent="0.2">
      <c r="D4173" s="308"/>
      <c r="E4173" s="291"/>
      <c r="F4173" s="291"/>
      <c r="G4173" s="291"/>
      <c r="H4173" s="287"/>
      <c r="I4173" s="211"/>
      <c r="J4173" s="211"/>
      <c r="K4173" s="288"/>
    </row>
    <row r="4174" spans="4:11" x14ac:dyDescent="0.2">
      <c r="D4174" s="308"/>
      <c r="E4174" s="291"/>
      <c r="F4174" s="291"/>
      <c r="G4174" s="291"/>
      <c r="H4174" s="287"/>
      <c r="I4174" s="211"/>
      <c r="J4174" s="211"/>
      <c r="K4174" s="288"/>
    </row>
    <row r="4175" spans="4:11" x14ac:dyDescent="0.2">
      <c r="D4175" s="308"/>
      <c r="E4175" s="291"/>
      <c r="F4175" s="291"/>
      <c r="G4175" s="291"/>
      <c r="H4175" s="287"/>
      <c r="I4175" s="211"/>
      <c r="J4175" s="211"/>
      <c r="K4175" s="288"/>
    </row>
    <row r="4176" spans="4:11" x14ac:dyDescent="0.2">
      <c r="D4176" s="308"/>
      <c r="E4176" s="291"/>
      <c r="F4176" s="291"/>
      <c r="G4176" s="291"/>
      <c r="H4176" s="287"/>
      <c r="I4176" s="211"/>
      <c r="J4176" s="211"/>
      <c r="K4176" s="288"/>
    </row>
    <row r="4177" spans="4:11" x14ac:dyDescent="0.2">
      <c r="D4177" s="308"/>
      <c r="E4177" s="291"/>
      <c r="F4177" s="291"/>
      <c r="G4177" s="291"/>
      <c r="H4177" s="287"/>
      <c r="I4177" s="211"/>
      <c r="J4177" s="211"/>
      <c r="K4177" s="288"/>
    </row>
    <row r="4178" spans="4:11" x14ac:dyDescent="0.2">
      <c r="D4178" s="308"/>
      <c r="E4178" s="291"/>
      <c r="F4178" s="291"/>
      <c r="G4178" s="291"/>
      <c r="H4178" s="287"/>
      <c r="I4178" s="211"/>
      <c r="J4178" s="211"/>
      <c r="K4178" s="288"/>
    </row>
    <row r="4179" spans="4:11" x14ac:dyDescent="0.2">
      <c r="D4179" s="308"/>
      <c r="E4179" s="291"/>
      <c r="F4179" s="291"/>
      <c r="G4179" s="291"/>
      <c r="H4179" s="287"/>
      <c r="I4179" s="211"/>
      <c r="J4179" s="211"/>
      <c r="K4179" s="288"/>
    </row>
    <row r="4180" spans="4:11" x14ac:dyDescent="0.2">
      <c r="D4180" s="308"/>
      <c r="E4180" s="291"/>
      <c r="F4180" s="291"/>
      <c r="G4180" s="291"/>
      <c r="H4180" s="287"/>
      <c r="I4180" s="211"/>
      <c r="J4180" s="211"/>
      <c r="K4180" s="288"/>
    </row>
    <row r="4181" spans="4:11" x14ac:dyDescent="0.2">
      <c r="D4181" s="308"/>
      <c r="E4181" s="291"/>
      <c r="F4181" s="291"/>
      <c r="G4181" s="291"/>
      <c r="H4181" s="287"/>
      <c r="I4181" s="211"/>
      <c r="J4181" s="211"/>
      <c r="K4181" s="288"/>
    </row>
    <row r="4182" spans="4:11" x14ac:dyDescent="0.2">
      <c r="D4182" s="308"/>
      <c r="E4182" s="291"/>
      <c r="F4182" s="291"/>
      <c r="G4182" s="291"/>
      <c r="H4182" s="287"/>
      <c r="I4182" s="211"/>
      <c r="J4182" s="211"/>
      <c r="K4182" s="288"/>
    </row>
    <row r="4183" spans="4:11" x14ac:dyDescent="0.2">
      <c r="D4183" s="308"/>
      <c r="E4183" s="291"/>
      <c r="F4183" s="291"/>
      <c r="G4183" s="291"/>
      <c r="H4183" s="287"/>
      <c r="I4183" s="211"/>
      <c r="J4183" s="211"/>
      <c r="K4183" s="288"/>
    </row>
    <row r="4184" spans="4:11" x14ac:dyDescent="0.2">
      <c r="D4184" s="308"/>
      <c r="E4184" s="291"/>
      <c r="F4184" s="291"/>
      <c r="G4184" s="291"/>
      <c r="H4184" s="287"/>
      <c r="I4184" s="211"/>
      <c r="J4184" s="211"/>
      <c r="K4184" s="288"/>
    </row>
    <row r="4185" spans="4:11" x14ac:dyDescent="0.2">
      <c r="D4185" s="308"/>
      <c r="E4185" s="291"/>
      <c r="F4185" s="291"/>
      <c r="G4185" s="291"/>
      <c r="H4185" s="287"/>
      <c r="I4185" s="211"/>
      <c r="J4185" s="211"/>
      <c r="K4185" s="288"/>
    </row>
    <row r="4186" spans="4:11" x14ac:dyDescent="0.2">
      <c r="D4186" s="308"/>
      <c r="E4186" s="291"/>
      <c r="F4186" s="291"/>
      <c r="G4186" s="291"/>
      <c r="H4186" s="287"/>
      <c r="I4186" s="211"/>
      <c r="J4186" s="211"/>
      <c r="K4186" s="288"/>
    </row>
    <row r="4187" spans="4:11" x14ac:dyDescent="0.2">
      <c r="D4187" s="308"/>
      <c r="E4187" s="291"/>
      <c r="F4187" s="291"/>
      <c r="G4187" s="291"/>
      <c r="H4187" s="287"/>
      <c r="I4187" s="211"/>
      <c r="J4187" s="211"/>
      <c r="K4187" s="288"/>
    </row>
    <row r="4188" spans="4:11" x14ac:dyDescent="0.2">
      <c r="D4188" s="308"/>
      <c r="E4188" s="291"/>
      <c r="F4188" s="291"/>
      <c r="G4188" s="291"/>
      <c r="H4188" s="287"/>
      <c r="I4188" s="211"/>
      <c r="J4188" s="211"/>
      <c r="K4188" s="288"/>
    </row>
    <row r="4189" spans="4:11" x14ac:dyDescent="0.2">
      <c r="D4189" s="308"/>
      <c r="E4189" s="291"/>
      <c r="F4189" s="291"/>
      <c r="G4189" s="291"/>
      <c r="H4189" s="287"/>
      <c r="I4189" s="211"/>
      <c r="J4189" s="211"/>
      <c r="K4189" s="288"/>
    </row>
    <row r="4190" spans="4:11" x14ac:dyDescent="0.2">
      <c r="D4190" s="308"/>
      <c r="E4190" s="291"/>
      <c r="F4190" s="291"/>
      <c r="G4190" s="291"/>
      <c r="H4190" s="287"/>
      <c r="I4190" s="211"/>
      <c r="J4190" s="211"/>
      <c r="K4190" s="288"/>
    </row>
    <row r="4191" spans="4:11" x14ac:dyDescent="0.2">
      <c r="D4191" s="308"/>
      <c r="E4191" s="291"/>
      <c r="F4191" s="291"/>
      <c r="G4191" s="291"/>
      <c r="H4191" s="287"/>
      <c r="I4191" s="211"/>
      <c r="J4191" s="211"/>
      <c r="K4191" s="288"/>
    </row>
    <row r="4192" spans="4:11" x14ac:dyDescent="0.2">
      <c r="D4192" s="308"/>
      <c r="E4192" s="291"/>
      <c r="F4192" s="291"/>
      <c r="G4192" s="291"/>
      <c r="H4192" s="287"/>
      <c r="I4192" s="211"/>
      <c r="J4192" s="211"/>
      <c r="K4192" s="288"/>
    </row>
    <row r="4193" spans="4:11" x14ac:dyDescent="0.2">
      <c r="D4193" s="308"/>
      <c r="E4193" s="291"/>
      <c r="F4193" s="291"/>
      <c r="G4193" s="291"/>
      <c r="H4193" s="287"/>
      <c r="I4193" s="211"/>
      <c r="J4193" s="211"/>
      <c r="K4193" s="288"/>
    </row>
    <row r="4194" spans="4:11" x14ac:dyDescent="0.2">
      <c r="D4194" s="308"/>
      <c r="E4194" s="291"/>
      <c r="F4194" s="291"/>
      <c r="G4194" s="291"/>
      <c r="H4194" s="287"/>
      <c r="I4194" s="211"/>
      <c r="J4194" s="211"/>
      <c r="K4194" s="288"/>
    </row>
    <row r="4195" spans="4:11" x14ac:dyDescent="0.2">
      <c r="D4195" s="308"/>
      <c r="E4195" s="291"/>
      <c r="F4195" s="291"/>
      <c r="G4195" s="291"/>
      <c r="H4195" s="287"/>
      <c r="I4195" s="211"/>
      <c r="J4195" s="211"/>
      <c r="K4195" s="288"/>
    </row>
    <row r="4196" spans="4:11" x14ac:dyDescent="0.2">
      <c r="D4196" s="308"/>
      <c r="E4196" s="291"/>
      <c r="F4196" s="291"/>
      <c r="G4196" s="291"/>
      <c r="H4196" s="287"/>
      <c r="I4196" s="211"/>
      <c r="J4196" s="211"/>
      <c r="K4196" s="288"/>
    </row>
    <row r="4197" spans="4:11" x14ac:dyDescent="0.2">
      <c r="D4197" s="308"/>
      <c r="E4197" s="291"/>
      <c r="F4197" s="291"/>
      <c r="G4197" s="291"/>
      <c r="H4197" s="287"/>
      <c r="I4197" s="211"/>
      <c r="J4197" s="211"/>
      <c r="K4197" s="288"/>
    </row>
    <row r="4198" spans="4:11" x14ac:dyDescent="0.2">
      <c r="D4198" s="308"/>
      <c r="E4198" s="291"/>
      <c r="F4198" s="291"/>
      <c r="G4198" s="291"/>
      <c r="H4198" s="287"/>
      <c r="I4198" s="211"/>
      <c r="J4198" s="211"/>
      <c r="K4198" s="288"/>
    </row>
    <row r="4199" spans="4:11" x14ac:dyDescent="0.2">
      <c r="D4199" s="308"/>
      <c r="E4199" s="291"/>
      <c r="F4199" s="291"/>
      <c r="G4199" s="291"/>
      <c r="H4199" s="287"/>
      <c r="I4199" s="211"/>
      <c r="J4199" s="211"/>
      <c r="K4199" s="288"/>
    </row>
    <row r="4200" spans="4:11" x14ac:dyDescent="0.2">
      <c r="D4200" s="308"/>
      <c r="E4200" s="291"/>
      <c r="F4200" s="291"/>
      <c r="G4200" s="291"/>
      <c r="H4200" s="287"/>
      <c r="I4200" s="211"/>
      <c r="J4200" s="211"/>
      <c r="K4200" s="288"/>
    </row>
    <row r="4201" spans="4:11" x14ac:dyDescent="0.2">
      <c r="D4201" s="308"/>
      <c r="E4201" s="291"/>
      <c r="F4201" s="291"/>
      <c r="G4201" s="291"/>
      <c r="H4201" s="287"/>
      <c r="I4201" s="211"/>
      <c r="J4201" s="211"/>
      <c r="K4201" s="288"/>
    </row>
    <row r="4202" spans="4:11" x14ac:dyDescent="0.2">
      <c r="D4202" s="308"/>
      <c r="E4202" s="291"/>
      <c r="F4202" s="291"/>
      <c r="G4202" s="291"/>
      <c r="H4202" s="287"/>
      <c r="I4202" s="211"/>
      <c r="J4202" s="211"/>
      <c r="K4202" s="288"/>
    </row>
    <row r="4203" spans="4:11" x14ac:dyDescent="0.2">
      <c r="D4203" s="308"/>
      <c r="E4203" s="291"/>
      <c r="F4203" s="291"/>
      <c r="G4203" s="291"/>
      <c r="H4203" s="287"/>
      <c r="I4203" s="211"/>
      <c r="J4203" s="211"/>
      <c r="K4203" s="288"/>
    </row>
    <row r="4204" spans="4:11" x14ac:dyDescent="0.2">
      <c r="D4204" s="308"/>
      <c r="E4204" s="291"/>
      <c r="F4204" s="291"/>
      <c r="G4204" s="291"/>
      <c r="H4204" s="287"/>
      <c r="I4204" s="211"/>
      <c r="J4204" s="211"/>
      <c r="K4204" s="288"/>
    </row>
    <row r="4205" spans="4:11" x14ac:dyDescent="0.2">
      <c r="D4205" s="308"/>
      <c r="E4205" s="291"/>
      <c r="F4205" s="291"/>
      <c r="G4205" s="291"/>
      <c r="H4205" s="287"/>
      <c r="I4205" s="211"/>
      <c r="J4205" s="211"/>
      <c r="K4205" s="288"/>
    </row>
    <row r="4206" spans="4:11" x14ac:dyDescent="0.2">
      <c r="D4206" s="308"/>
      <c r="E4206" s="291"/>
      <c r="F4206" s="291"/>
      <c r="G4206" s="291"/>
      <c r="H4206" s="287"/>
      <c r="I4206" s="211"/>
      <c r="J4206" s="211"/>
      <c r="K4206" s="288"/>
    </row>
    <row r="4207" spans="4:11" x14ac:dyDescent="0.2">
      <c r="D4207" s="308"/>
      <c r="E4207" s="291"/>
      <c r="F4207" s="291"/>
      <c r="G4207" s="291"/>
      <c r="H4207" s="287"/>
      <c r="I4207" s="211"/>
      <c r="J4207" s="211"/>
      <c r="K4207" s="288"/>
    </row>
    <row r="4208" spans="4:11" x14ac:dyDescent="0.2">
      <c r="D4208" s="308"/>
      <c r="E4208" s="291"/>
      <c r="F4208" s="291"/>
      <c r="G4208" s="291"/>
      <c r="H4208" s="287"/>
      <c r="I4208" s="211"/>
      <c r="J4208" s="211"/>
      <c r="K4208" s="288"/>
    </row>
    <row r="4209" spans="4:11" x14ac:dyDescent="0.2">
      <c r="D4209" s="308"/>
      <c r="E4209" s="291"/>
      <c r="F4209" s="291"/>
      <c r="G4209" s="291"/>
      <c r="H4209" s="287"/>
      <c r="I4209" s="211"/>
      <c r="J4209" s="211"/>
      <c r="K4209" s="288"/>
    </row>
    <row r="4210" spans="4:11" x14ac:dyDescent="0.2">
      <c r="D4210" s="308"/>
      <c r="E4210" s="291"/>
      <c r="F4210" s="291"/>
      <c r="G4210" s="291"/>
      <c r="H4210" s="287"/>
      <c r="I4210" s="211"/>
      <c r="J4210" s="211"/>
      <c r="K4210" s="288"/>
    </row>
    <row r="4211" spans="4:11" x14ac:dyDescent="0.2">
      <c r="D4211" s="308"/>
      <c r="E4211" s="291"/>
      <c r="F4211" s="291"/>
      <c r="G4211" s="291"/>
      <c r="H4211" s="287"/>
      <c r="I4211" s="211"/>
      <c r="J4211" s="211"/>
      <c r="K4211" s="288"/>
    </row>
    <row r="4212" spans="4:11" x14ac:dyDescent="0.2">
      <c r="D4212" s="308"/>
      <c r="E4212" s="291"/>
      <c r="F4212" s="291"/>
      <c r="G4212" s="291"/>
      <c r="H4212" s="287"/>
      <c r="I4212" s="211"/>
      <c r="J4212" s="211"/>
      <c r="K4212" s="288"/>
    </row>
    <row r="4213" spans="4:11" x14ac:dyDescent="0.2">
      <c r="D4213" s="308"/>
      <c r="E4213" s="291"/>
      <c r="F4213" s="291"/>
      <c r="G4213" s="291"/>
      <c r="H4213" s="287"/>
      <c r="I4213" s="211"/>
      <c r="J4213" s="211"/>
      <c r="K4213" s="288"/>
    </row>
    <row r="4214" spans="4:11" x14ac:dyDescent="0.2">
      <c r="D4214" s="308"/>
      <c r="E4214" s="291"/>
      <c r="F4214" s="291"/>
      <c r="G4214" s="291"/>
      <c r="H4214" s="287"/>
      <c r="I4214" s="211"/>
      <c r="J4214" s="211"/>
      <c r="K4214" s="288"/>
    </row>
    <row r="4215" spans="4:11" x14ac:dyDescent="0.2">
      <c r="D4215" s="308"/>
      <c r="E4215" s="291"/>
      <c r="F4215" s="291"/>
      <c r="G4215" s="291"/>
      <c r="H4215" s="287"/>
      <c r="I4215" s="211"/>
      <c r="J4215" s="211"/>
      <c r="K4215" s="288"/>
    </row>
    <row r="4216" spans="4:11" x14ac:dyDescent="0.2">
      <c r="D4216" s="308"/>
      <c r="E4216" s="291"/>
      <c r="F4216" s="291"/>
      <c r="G4216" s="291"/>
      <c r="H4216" s="287"/>
      <c r="I4216" s="211"/>
      <c r="J4216" s="211"/>
      <c r="K4216" s="288"/>
    </row>
    <row r="4217" spans="4:11" x14ac:dyDescent="0.2">
      <c r="D4217" s="308"/>
      <c r="E4217" s="291"/>
      <c r="F4217" s="291"/>
      <c r="G4217" s="291"/>
      <c r="H4217" s="287"/>
      <c r="I4217" s="211"/>
      <c r="J4217" s="211"/>
      <c r="K4217" s="288"/>
    </row>
    <row r="4218" spans="4:11" x14ac:dyDescent="0.2">
      <c r="D4218" s="308"/>
      <c r="E4218" s="291"/>
      <c r="F4218" s="291"/>
      <c r="G4218" s="291"/>
      <c r="H4218" s="287"/>
      <c r="I4218" s="211"/>
      <c r="J4218" s="211"/>
      <c r="K4218" s="288"/>
    </row>
    <row r="4219" spans="4:11" x14ac:dyDescent="0.2">
      <c r="D4219" s="308"/>
      <c r="E4219" s="291"/>
      <c r="F4219" s="291"/>
      <c r="G4219" s="291"/>
      <c r="H4219" s="287"/>
      <c r="I4219" s="211"/>
      <c r="J4219" s="211"/>
      <c r="K4219" s="288"/>
    </row>
    <row r="4220" spans="4:11" x14ac:dyDescent="0.2">
      <c r="D4220" s="308"/>
      <c r="E4220" s="291"/>
      <c r="F4220" s="291"/>
      <c r="G4220" s="291"/>
      <c r="H4220" s="287"/>
      <c r="I4220" s="211"/>
      <c r="J4220" s="211"/>
      <c r="K4220" s="288"/>
    </row>
    <row r="4221" spans="4:11" x14ac:dyDescent="0.2">
      <c r="D4221" s="308"/>
      <c r="E4221" s="291"/>
      <c r="F4221" s="291"/>
      <c r="G4221" s="291"/>
      <c r="H4221" s="287"/>
      <c r="I4221" s="211"/>
      <c r="J4221" s="211"/>
      <c r="K4221" s="288"/>
    </row>
    <row r="4222" spans="4:11" x14ac:dyDescent="0.2">
      <c r="D4222" s="308"/>
      <c r="E4222" s="291"/>
      <c r="F4222" s="291"/>
      <c r="G4222" s="291"/>
      <c r="H4222" s="287"/>
      <c r="I4222" s="211"/>
      <c r="J4222" s="211"/>
      <c r="K4222" s="288"/>
    </row>
    <row r="4223" spans="4:11" x14ac:dyDescent="0.2">
      <c r="D4223" s="308"/>
      <c r="E4223" s="291"/>
      <c r="F4223" s="291"/>
      <c r="G4223" s="291"/>
      <c r="H4223" s="287"/>
      <c r="I4223" s="211"/>
      <c r="J4223" s="211"/>
      <c r="K4223" s="288"/>
    </row>
    <row r="4224" spans="4:11" x14ac:dyDescent="0.2">
      <c r="D4224" s="308"/>
      <c r="E4224" s="291"/>
      <c r="F4224" s="291"/>
      <c r="G4224" s="291"/>
      <c r="H4224" s="287"/>
      <c r="I4224" s="211"/>
      <c r="J4224" s="211"/>
      <c r="K4224" s="288"/>
    </row>
    <row r="4225" spans="4:11" x14ac:dyDescent="0.2">
      <c r="D4225" s="308"/>
      <c r="E4225" s="291"/>
      <c r="F4225" s="291"/>
      <c r="G4225" s="291"/>
      <c r="H4225" s="287"/>
      <c r="I4225" s="211"/>
      <c r="J4225" s="211"/>
      <c r="K4225" s="288"/>
    </row>
    <row r="4226" spans="4:11" x14ac:dyDescent="0.2">
      <c r="D4226" s="308"/>
      <c r="E4226" s="291"/>
      <c r="F4226" s="291"/>
      <c r="G4226" s="291"/>
      <c r="H4226" s="287"/>
      <c r="I4226" s="211"/>
      <c r="J4226" s="211"/>
      <c r="K4226" s="288"/>
    </row>
    <row r="4227" spans="4:11" x14ac:dyDescent="0.2">
      <c r="D4227" s="308"/>
      <c r="E4227" s="291"/>
      <c r="F4227" s="291"/>
      <c r="G4227" s="291"/>
      <c r="H4227" s="287"/>
      <c r="I4227" s="211"/>
      <c r="J4227" s="211"/>
      <c r="K4227" s="288"/>
    </row>
    <row r="4228" spans="4:11" x14ac:dyDescent="0.2">
      <c r="D4228" s="308"/>
      <c r="E4228" s="291"/>
      <c r="F4228" s="291"/>
      <c r="G4228" s="291"/>
      <c r="H4228" s="287"/>
      <c r="I4228" s="211"/>
      <c r="J4228" s="211"/>
      <c r="K4228" s="288"/>
    </row>
    <row r="4229" spans="4:11" x14ac:dyDescent="0.2">
      <c r="D4229" s="308"/>
      <c r="E4229" s="291"/>
      <c r="F4229" s="291"/>
      <c r="G4229" s="291"/>
      <c r="H4229" s="287"/>
      <c r="I4229" s="211"/>
      <c r="J4229" s="211"/>
      <c r="K4229" s="288"/>
    </row>
    <row r="4230" spans="4:11" x14ac:dyDescent="0.2">
      <c r="D4230" s="308"/>
      <c r="E4230" s="291"/>
      <c r="F4230" s="291"/>
      <c r="G4230" s="291"/>
      <c r="H4230" s="287"/>
      <c r="I4230" s="211"/>
      <c r="J4230" s="211"/>
      <c r="K4230" s="288"/>
    </row>
    <row r="4231" spans="4:11" x14ac:dyDescent="0.2">
      <c r="D4231" s="308"/>
      <c r="E4231" s="291"/>
      <c r="F4231" s="291"/>
      <c r="G4231" s="291"/>
      <c r="H4231" s="287"/>
      <c r="I4231" s="211"/>
      <c r="J4231" s="211"/>
      <c r="K4231" s="288"/>
    </row>
    <row r="4232" spans="4:11" x14ac:dyDescent="0.2">
      <c r="D4232" s="308"/>
      <c r="E4232" s="291"/>
      <c r="F4232" s="291"/>
      <c r="G4232" s="291"/>
      <c r="H4232" s="287"/>
      <c r="I4232" s="211"/>
      <c r="J4232" s="211"/>
      <c r="K4232" s="288"/>
    </row>
    <row r="4233" spans="4:11" x14ac:dyDescent="0.2">
      <c r="D4233" s="308"/>
      <c r="E4233" s="291"/>
      <c r="F4233" s="291"/>
      <c r="G4233" s="291"/>
      <c r="H4233" s="287"/>
      <c r="I4233" s="211"/>
      <c r="J4233" s="211"/>
      <c r="K4233" s="288"/>
    </row>
    <row r="4234" spans="4:11" x14ac:dyDescent="0.2">
      <c r="D4234" s="308"/>
      <c r="E4234" s="291"/>
      <c r="F4234" s="291"/>
      <c r="G4234" s="291"/>
      <c r="H4234" s="287"/>
      <c r="I4234" s="211"/>
      <c r="J4234" s="211"/>
      <c r="K4234" s="288"/>
    </row>
    <row r="4235" spans="4:11" x14ac:dyDescent="0.2">
      <c r="D4235" s="308"/>
      <c r="E4235" s="291"/>
      <c r="F4235" s="291"/>
      <c r="G4235" s="291"/>
      <c r="H4235" s="287"/>
      <c r="I4235" s="211"/>
      <c r="J4235" s="211"/>
      <c r="K4235" s="288"/>
    </row>
    <row r="4236" spans="4:11" x14ac:dyDescent="0.2">
      <c r="D4236" s="308"/>
      <c r="E4236" s="291"/>
      <c r="F4236" s="291"/>
      <c r="G4236" s="291"/>
      <c r="H4236" s="287"/>
      <c r="I4236" s="211"/>
      <c r="J4236" s="211"/>
      <c r="K4236" s="288"/>
    </row>
    <row r="4237" spans="4:11" x14ac:dyDescent="0.2">
      <c r="D4237" s="308"/>
      <c r="E4237" s="291"/>
      <c r="F4237" s="291"/>
      <c r="G4237" s="291"/>
      <c r="H4237" s="287"/>
      <c r="I4237" s="211"/>
      <c r="J4237" s="211"/>
      <c r="K4237" s="288"/>
    </row>
    <row r="4238" spans="4:11" x14ac:dyDescent="0.2">
      <c r="D4238" s="308"/>
      <c r="E4238" s="291"/>
      <c r="F4238" s="291"/>
      <c r="G4238" s="291"/>
      <c r="H4238" s="287"/>
      <c r="I4238" s="211"/>
      <c r="J4238" s="211"/>
      <c r="K4238" s="288"/>
    </row>
    <row r="4239" spans="4:11" x14ac:dyDescent="0.2">
      <c r="D4239" s="308"/>
      <c r="E4239" s="291"/>
      <c r="F4239" s="291"/>
      <c r="G4239" s="291"/>
      <c r="H4239" s="287"/>
      <c r="I4239" s="211"/>
      <c r="J4239" s="211"/>
      <c r="K4239" s="288"/>
    </row>
    <row r="4240" spans="4:11" x14ac:dyDescent="0.2">
      <c r="D4240" s="308"/>
      <c r="E4240" s="291"/>
      <c r="F4240" s="291"/>
      <c r="G4240" s="291"/>
      <c r="H4240" s="287"/>
      <c r="I4240" s="211"/>
      <c r="J4240" s="211"/>
      <c r="K4240" s="288"/>
    </row>
    <row r="4241" spans="4:11" x14ac:dyDescent="0.2">
      <c r="D4241" s="308"/>
      <c r="E4241" s="291"/>
      <c r="F4241" s="291"/>
      <c r="G4241" s="291"/>
      <c r="H4241" s="287"/>
      <c r="I4241" s="211"/>
      <c r="J4241" s="211"/>
      <c r="K4241" s="288"/>
    </row>
    <row r="4242" spans="4:11" x14ac:dyDescent="0.2">
      <c r="D4242" s="308"/>
      <c r="E4242" s="291"/>
      <c r="F4242" s="291"/>
      <c r="G4242" s="291"/>
      <c r="H4242" s="287"/>
      <c r="I4242" s="211"/>
      <c r="J4242" s="211"/>
      <c r="K4242" s="288"/>
    </row>
    <row r="4243" spans="4:11" x14ac:dyDescent="0.2">
      <c r="D4243" s="308"/>
      <c r="E4243" s="291"/>
      <c r="F4243" s="291"/>
      <c r="G4243" s="291"/>
      <c r="H4243" s="287"/>
      <c r="I4243" s="211"/>
      <c r="J4243" s="211"/>
      <c r="K4243" s="288"/>
    </row>
    <row r="4244" spans="4:11" x14ac:dyDescent="0.2">
      <c r="D4244" s="308"/>
      <c r="E4244" s="291"/>
      <c r="F4244" s="291"/>
      <c r="G4244" s="291"/>
      <c r="H4244" s="287"/>
      <c r="I4244" s="211"/>
      <c r="J4244" s="211"/>
      <c r="K4244" s="288"/>
    </row>
    <row r="4245" spans="4:11" x14ac:dyDescent="0.2">
      <c r="D4245" s="308"/>
      <c r="E4245" s="291"/>
      <c r="F4245" s="291"/>
      <c r="G4245" s="291"/>
      <c r="H4245" s="287"/>
      <c r="I4245" s="211"/>
      <c r="J4245" s="211"/>
      <c r="K4245" s="288"/>
    </row>
    <row r="4246" spans="4:11" x14ac:dyDescent="0.2">
      <c r="D4246" s="308"/>
      <c r="E4246" s="291"/>
      <c r="F4246" s="291"/>
      <c r="G4246" s="291"/>
      <c r="H4246" s="287"/>
      <c r="I4246" s="211"/>
      <c r="J4246" s="211"/>
      <c r="K4246" s="288"/>
    </row>
    <row r="4247" spans="4:11" x14ac:dyDescent="0.2">
      <c r="D4247" s="308"/>
      <c r="E4247" s="291"/>
      <c r="F4247" s="291"/>
      <c r="G4247" s="291"/>
      <c r="H4247" s="287"/>
      <c r="I4247" s="211"/>
      <c r="J4247" s="211"/>
      <c r="K4247" s="288"/>
    </row>
    <row r="4248" spans="4:11" x14ac:dyDescent="0.2">
      <c r="D4248" s="308"/>
      <c r="E4248" s="291"/>
      <c r="F4248" s="291"/>
      <c r="G4248" s="291"/>
      <c r="H4248" s="287"/>
      <c r="I4248" s="211"/>
      <c r="J4248" s="211"/>
      <c r="K4248" s="288"/>
    </row>
    <row r="4249" spans="4:11" x14ac:dyDescent="0.2">
      <c r="D4249" s="308"/>
      <c r="E4249" s="291"/>
      <c r="F4249" s="291"/>
      <c r="G4249" s="291"/>
      <c r="H4249" s="287"/>
      <c r="I4249" s="211"/>
      <c r="J4249" s="211"/>
      <c r="K4249" s="288"/>
    </row>
    <row r="4250" spans="4:11" x14ac:dyDescent="0.2">
      <c r="D4250" s="308"/>
      <c r="E4250" s="291"/>
      <c r="F4250" s="291"/>
      <c r="G4250" s="291"/>
      <c r="H4250" s="287"/>
      <c r="I4250" s="211"/>
      <c r="J4250" s="211"/>
      <c r="K4250" s="288"/>
    </row>
    <row r="4251" spans="4:11" x14ac:dyDescent="0.2">
      <c r="D4251" s="308"/>
      <c r="E4251" s="291"/>
      <c r="F4251" s="291"/>
      <c r="G4251" s="291"/>
      <c r="H4251" s="287"/>
      <c r="I4251" s="211"/>
      <c r="J4251" s="211"/>
      <c r="K4251" s="288"/>
    </row>
    <row r="4252" spans="4:11" x14ac:dyDescent="0.2">
      <c r="D4252" s="308"/>
      <c r="E4252" s="291"/>
      <c r="F4252" s="291"/>
      <c r="G4252" s="291"/>
      <c r="H4252" s="287"/>
      <c r="I4252" s="211"/>
      <c r="J4252" s="211"/>
      <c r="K4252" s="288"/>
    </row>
    <row r="4253" spans="4:11" x14ac:dyDescent="0.2">
      <c r="D4253" s="308"/>
      <c r="E4253" s="291"/>
      <c r="F4253" s="291"/>
      <c r="G4253" s="291"/>
      <c r="H4253" s="287"/>
      <c r="I4253" s="211"/>
      <c r="J4253" s="211"/>
      <c r="K4253" s="288"/>
    </row>
    <row r="4254" spans="4:11" x14ac:dyDescent="0.2">
      <c r="D4254" s="308"/>
      <c r="E4254" s="291"/>
      <c r="F4254" s="291"/>
      <c r="G4254" s="291"/>
      <c r="H4254" s="287"/>
      <c r="I4254" s="211"/>
      <c r="J4254" s="211"/>
      <c r="K4254" s="288"/>
    </row>
    <row r="4255" spans="4:11" x14ac:dyDescent="0.2">
      <c r="D4255" s="308"/>
      <c r="E4255" s="291"/>
      <c r="F4255" s="291"/>
      <c r="G4255" s="291"/>
      <c r="H4255" s="287"/>
      <c r="I4255" s="211"/>
      <c r="J4255" s="211"/>
      <c r="K4255" s="288"/>
    </row>
    <row r="4256" spans="4:11" x14ac:dyDescent="0.2">
      <c r="D4256" s="308"/>
      <c r="E4256" s="291"/>
      <c r="F4256" s="291"/>
      <c r="G4256" s="291"/>
      <c r="H4256" s="287"/>
      <c r="I4256" s="211"/>
      <c r="J4256" s="211"/>
      <c r="K4256" s="288"/>
    </row>
    <row r="4257" spans="4:11" x14ac:dyDescent="0.2">
      <c r="D4257" s="308"/>
      <c r="E4257" s="291"/>
      <c r="F4257" s="291"/>
      <c r="G4257" s="291"/>
      <c r="H4257" s="287"/>
      <c r="I4257" s="211"/>
      <c r="J4257" s="211"/>
      <c r="K4257" s="288"/>
    </row>
    <row r="4258" spans="4:11" x14ac:dyDescent="0.2">
      <c r="D4258" s="308"/>
      <c r="E4258" s="291"/>
      <c r="F4258" s="291"/>
      <c r="G4258" s="291"/>
      <c r="H4258" s="287"/>
      <c r="I4258" s="211"/>
      <c r="J4258" s="211"/>
      <c r="K4258" s="288"/>
    </row>
    <row r="4259" spans="4:11" x14ac:dyDescent="0.2">
      <c r="D4259" s="308"/>
      <c r="E4259" s="291"/>
      <c r="F4259" s="291"/>
      <c r="G4259" s="291"/>
      <c r="H4259" s="287"/>
      <c r="I4259" s="211"/>
      <c r="J4259" s="211"/>
      <c r="K4259" s="288"/>
    </row>
    <row r="4260" spans="4:11" x14ac:dyDescent="0.2">
      <c r="D4260" s="308"/>
      <c r="E4260" s="291"/>
      <c r="F4260" s="291"/>
      <c r="G4260" s="291"/>
      <c r="H4260" s="287"/>
      <c r="I4260" s="211"/>
      <c r="J4260" s="211"/>
      <c r="K4260" s="288"/>
    </row>
    <row r="4261" spans="4:11" x14ac:dyDescent="0.2">
      <c r="D4261" s="308"/>
      <c r="E4261" s="291"/>
      <c r="F4261" s="291"/>
      <c r="G4261" s="291"/>
      <c r="H4261" s="287"/>
      <c r="I4261" s="211"/>
      <c r="J4261" s="211"/>
      <c r="K4261" s="288"/>
    </row>
    <row r="4262" spans="4:11" x14ac:dyDescent="0.2">
      <c r="D4262" s="308"/>
      <c r="E4262" s="291"/>
      <c r="F4262" s="291"/>
      <c r="G4262" s="291"/>
      <c r="H4262" s="287"/>
      <c r="I4262" s="211"/>
      <c r="J4262" s="211"/>
      <c r="K4262" s="288"/>
    </row>
    <row r="4263" spans="4:11" x14ac:dyDescent="0.2">
      <c r="D4263" s="308"/>
      <c r="E4263" s="291"/>
      <c r="F4263" s="291"/>
      <c r="G4263" s="291"/>
      <c r="H4263" s="287"/>
      <c r="I4263" s="211"/>
      <c r="J4263" s="211"/>
      <c r="K4263" s="288"/>
    </row>
    <row r="4264" spans="4:11" x14ac:dyDescent="0.2">
      <c r="D4264" s="308"/>
      <c r="E4264" s="291"/>
      <c r="F4264" s="291"/>
      <c r="G4264" s="291"/>
      <c r="H4264" s="287"/>
      <c r="I4264" s="211"/>
      <c r="J4264" s="211"/>
      <c r="K4264" s="288"/>
    </row>
    <row r="4265" spans="4:11" x14ac:dyDescent="0.2">
      <c r="D4265" s="308"/>
      <c r="E4265" s="291"/>
      <c r="F4265" s="291"/>
      <c r="G4265" s="291"/>
      <c r="H4265" s="287"/>
      <c r="I4265" s="211"/>
      <c r="J4265" s="211"/>
      <c r="K4265" s="288"/>
    </row>
    <row r="4266" spans="4:11" x14ac:dyDescent="0.2">
      <c r="D4266" s="308"/>
      <c r="E4266" s="291"/>
      <c r="F4266" s="291"/>
      <c r="G4266" s="291"/>
      <c r="H4266" s="287"/>
      <c r="I4266" s="211"/>
      <c r="J4266" s="211"/>
      <c r="K4266" s="288"/>
    </row>
    <row r="4267" spans="4:11" x14ac:dyDescent="0.2">
      <c r="D4267" s="308"/>
      <c r="E4267" s="291"/>
      <c r="F4267" s="291"/>
      <c r="G4267" s="291"/>
      <c r="H4267" s="287"/>
      <c r="I4267" s="211"/>
      <c r="J4267" s="211"/>
      <c r="K4267" s="288"/>
    </row>
    <row r="4268" spans="4:11" x14ac:dyDescent="0.2">
      <c r="D4268" s="308"/>
      <c r="E4268" s="291"/>
      <c r="F4268" s="291"/>
      <c r="G4268" s="291"/>
      <c r="H4268" s="287"/>
      <c r="I4268" s="211"/>
      <c r="J4268" s="211"/>
      <c r="K4268" s="288"/>
    </row>
    <row r="4269" spans="4:11" x14ac:dyDescent="0.2">
      <c r="D4269" s="308"/>
      <c r="E4269" s="291"/>
      <c r="F4269" s="291"/>
      <c r="G4269" s="291"/>
      <c r="H4269" s="287"/>
      <c r="I4269" s="211"/>
      <c r="J4269" s="211"/>
      <c r="K4269" s="288"/>
    </row>
    <row r="4270" spans="4:11" x14ac:dyDescent="0.2">
      <c r="D4270" s="308"/>
      <c r="E4270" s="291"/>
      <c r="F4270" s="291"/>
      <c r="G4270" s="291"/>
      <c r="H4270" s="287"/>
      <c r="I4270" s="211"/>
      <c r="J4270" s="211"/>
      <c r="K4270" s="288"/>
    </row>
    <row r="4271" spans="4:11" x14ac:dyDescent="0.2">
      <c r="D4271" s="308"/>
      <c r="E4271" s="291"/>
      <c r="F4271" s="291"/>
      <c r="G4271" s="291"/>
      <c r="H4271" s="287"/>
      <c r="I4271" s="211"/>
      <c r="J4271" s="211"/>
      <c r="K4271" s="288"/>
    </row>
    <row r="4272" spans="4:11" x14ac:dyDescent="0.2">
      <c r="D4272" s="308"/>
      <c r="E4272" s="291"/>
      <c r="F4272" s="291"/>
      <c r="G4272" s="291"/>
      <c r="H4272" s="287"/>
      <c r="I4272" s="211"/>
      <c r="J4272" s="211"/>
      <c r="K4272" s="288"/>
    </row>
    <row r="4273" spans="4:11" x14ac:dyDescent="0.2">
      <c r="D4273" s="308"/>
      <c r="E4273" s="291"/>
      <c r="F4273" s="291"/>
      <c r="G4273" s="291"/>
      <c r="H4273" s="287"/>
      <c r="I4273" s="211"/>
      <c r="J4273" s="211"/>
      <c r="K4273" s="288"/>
    </row>
    <row r="4274" spans="4:11" x14ac:dyDescent="0.2">
      <c r="D4274" s="308"/>
      <c r="E4274" s="291"/>
      <c r="F4274" s="291"/>
      <c r="G4274" s="291"/>
      <c r="H4274" s="287"/>
      <c r="I4274" s="211"/>
      <c r="J4274" s="211"/>
      <c r="K4274" s="288"/>
    </row>
    <row r="4275" spans="4:11" x14ac:dyDescent="0.2">
      <c r="D4275" s="308"/>
      <c r="E4275" s="291"/>
      <c r="F4275" s="291"/>
      <c r="G4275" s="291"/>
      <c r="H4275" s="287"/>
      <c r="I4275" s="211"/>
      <c r="J4275" s="211"/>
      <c r="K4275" s="288"/>
    </row>
    <row r="4276" spans="4:11" x14ac:dyDescent="0.2">
      <c r="D4276" s="308"/>
      <c r="E4276" s="291"/>
      <c r="F4276" s="291"/>
      <c r="G4276" s="291"/>
      <c r="H4276" s="287"/>
      <c r="I4276" s="211"/>
      <c r="J4276" s="211"/>
      <c r="K4276" s="288"/>
    </row>
    <row r="4277" spans="4:11" x14ac:dyDescent="0.2">
      <c r="D4277" s="308"/>
      <c r="E4277" s="291"/>
      <c r="F4277" s="291"/>
      <c r="G4277" s="291"/>
      <c r="H4277" s="287"/>
      <c r="I4277" s="211"/>
      <c r="J4277" s="211"/>
      <c r="K4277" s="288"/>
    </row>
    <row r="4278" spans="4:11" x14ac:dyDescent="0.2">
      <c r="D4278" s="308"/>
      <c r="E4278" s="291"/>
      <c r="F4278" s="291"/>
      <c r="G4278" s="291"/>
      <c r="H4278" s="287"/>
      <c r="I4278" s="211"/>
      <c r="J4278" s="211"/>
      <c r="K4278" s="288"/>
    </row>
    <row r="4279" spans="4:11" x14ac:dyDescent="0.2">
      <c r="D4279" s="308"/>
      <c r="E4279" s="291"/>
      <c r="F4279" s="291"/>
      <c r="G4279" s="291"/>
      <c r="H4279" s="287"/>
      <c r="I4279" s="211"/>
      <c r="J4279" s="211"/>
      <c r="K4279" s="288"/>
    </row>
    <row r="4280" spans="4:11" x14ac:dyDescent="0.2">
      <c r="D4280" s="308"/>
      <c r="E4280" s="291"/>
      <c r="F4280" s="291"/>
      <c r="G4280" s="291"/>
      <c r="H4280" s="287"/>
      <c r="I4280" s="211"/>
      <c r="J4280" s="211"/>
      <c r="K4280" s="288"/>
    </row>
    <row r="4281" spans="4:11" x14ac:dyDescent="0.2">
      <c r="D4281" s="308"/>
      <c r="E4281" s="291"/>
      <c r="F4281" s="291"/>
      <c r="G4281" s="291"/>
      <c r="H4281" s="287"/>
      <c r="I4281" s="211"/>
      <c r="J4281" s="211"/>
      <c r="K4281" s="288"/>
    </row>
    <row r="4282" spans="4:11" x14ac:dyDescent="0.2">
      <c r="D4282" s="308"/>
      <c r="E4282" s="291"/>
      <c r="F4282" s="291"/>
      <c r="G4282" s="291"/>
      <c r="H4282" s="287"/>
      <c r="I4282" s="211"/>
      <c r="J4282" s="211"/>
      <c r="K4282" s="288"/>
    </row>
    <row r="4283" spans="4:11" x14ac:dyDescent="0.2">
      <c r="D4283" s="308"/>
      <c r="E4283" s="291"/>
      <c r="F4283" s="291"/>
      <c r="G4283" s="291"/>
      <c r="H4283" s="287"/>
      <c r="I4283" s="211"/>
      <c r="J4283" s="211"/>
      <c r="K4283" s="288"/>
    </row>
    <row r="4284" spans="4:11" x14ac:dyDescent="0.2">
      <c r="D4284" s="308"/>
      <c r="E4284" s="291"/>
      <c r="F4284" s="291"/>
      <c r="G4284" s="291"/>
      <c r="H4284" s="287"/>
      <c r="I4284" s="211"/>
      <c r="J4284" s="211"/>
      <c r="K4284" s="288"/>
    </row>
    <row r="4285" spans="4:11" x14ac:dyDescent="0.2">
      <c r="D4285" s="308"/>
      <c r="E4285" s="291"/>
      <c r="F4285" s="291"/>
      <c r="G4285" s="291"/>
      <c r="H4285" s="287"/>
      <c r="I4285" s="211"/>
      <c r="J4285" s="211"/>
      <c r="K4285" s="288"/>
    </row>
    <row r="4286" spans="4:11" x14ac:dyDescent="0.2">
      <c r="D4286" s="308"/>
      <c r="E4286" s="291"/>
      <c r="F4286" s="291"/>
      <c r="G4286" s="291"/>
      <c r="H4286" s="287"/>
      <c r="I4286" s="211"/>
      <c r="J4286" s="211"/>
      <c r="K4286" s="288"/>
    </row>
    <row r="4287" spans="4:11" x14ac:dyDescent="0.2">
      <c r="D4287" s="308"/>
      <c r="E4287" s="291"/>
      <c r="F4287" s="291"/>
      <c r="G4287" s="291"/>
      <c r="H4287" s="287"/>
      <c r="I4287" s="211"/>
      <c r="J4287" s="211"/>
      <c r="K4287" s="288"/>
    </row>
    <row r="4288" spans="4:11" x14ac:dyDescent="0.2">
      <c r="D4288" s="308"/>
      <c r="E4288" s="291"/>
      <c r="F4288" s="291"/>
      <c r="G4288" s="291"/>
      <c r="H4288" s="287"/>
      <c r="I4288" s="211"/>
      <c r="J4288" s="211"/>
      <c r="K4288" s="288"/>
    </row>
    <row r="4289" spans="4:11" x14ac:dyDescent="0.2">
      <c r="D4289" s="308"/>
      <c r="E4289" s="291"/>
      <c r="F4289" s="291"/>
      <c r="G4289" s="291"/>
      <c r="H4289" s="287"/>
      <c r="I4289" s="211"/>
      <c r="J4289" s="211"/>
      <c r="K4289" s="288"/>
    </row>
    <row r="4290" spans="4:11" x14ac:dyDescent="0.2">
      <c r="D4290" s="308"/>
      <c r="E4290" s="291"/>
      <c r="F4290" s="291"/>
      <c r="G4290" s="291"/>
      <c r="H4290" s="287"/>
      <c r="I4290" s="211"/>
      <c r="J4290" s="211"/>
      <c r="K4290" s="288"/>
    </row>
    <row r="4291" spans="4:11" x14ac:dyDescent="0.2">
      <c r="D4291" s="308"/>
      <c r="E4291" s="291"/>
      <c r="F4291" s="291"/>
      <c r="G4291" s="291"/>
      <c r="H4291" s="287"/>
      <c r="I4291" s="211"/>
      <c r="J4291" s="211"/>
      <c r="K4291" s="288"/>
    </row>
    <row r="4292" spans="4:11" x14ac:dyDescent="0.2">
      <c r="D4292" s="308"/>
      <c r="E4292" s="291"/>
      <c r="F4292" s="291"/>
      <c r="G4292" s="291"/>
      <c r="H4292" s="287"/>
      <c r="I4292" s="211"/>
      <c r="J4292" s="211"/>
      <c r="K4292" s="288"/>
    </row>
    <row r="4293" spans="4:11" x14ac:dyDescent="0.2">
      <c r="D4293" s="308"/>
      <c r="E4293" s="291"/>
      <c r="F4293" s="291"/>
      <c r="G4293" s="291"/>
      <c r="H4293" s="287"/>
      <c r="I4293" s="211"/>
      <c r="J4293" s="211"/>
      <c r="K4293" s="288"/>
    </row>
    <row r="4294" spans="4:11" x14ac:dyDescent="0.2">
      <c r="D4294" s="308"/>
      <c r="E4294" s="291"/>
      <c r="F4294" s="291"/>
      <c r="G4294" s="291"/>
      <c r="H4294" s="287"/>
      <c r="I4294" s="211"/>
      <c r="J4294" s="211"/>
      <c r="K4294" s="288"/>
    </row>
    <row r="4295" spans="4:11" x14ac:dyDescent="0.2">
      <c r="D4295" s="308"/>
      <c r="E4295" s="291"/>
      <c r="F4295" s="291"/>
      <c r="G4295" s="291"/>
      <c r="H4295" s="287"/>
      <c r="I4295" s="211"/>
      <c r="J4295" s="211"/>
      <c r="K4295" s="288"/>
    </row>
    <row r="4296" spans="4:11" x14ac:dyDescent="0.2">
      <c r="D4296" s="308"/>
      <c r="E4296" s="291"/>
      <c r="F4296" s="291"/>
      <c r="G4296" s="291"/>
      <c r="H4296" s="287"/>
      <c r="I4296" s="211"/>
      <c r="J4296" s="211"/>
      <c r="K4296" s="288"/>
    </row>
    <row r="4297" spans="4:11" x14ac:dyDescent="0.2">
      <c r="D4297" s="308"/>
      <c r="E4297" s="291"/>
      <c r="F4297" s="291"/>
      <c r="G4297" s="291"/>
      <c r="H4297" s="287"/>
      <c r="I4297" s="211"/>
      <c r="J4297" s="211"/>
      <c r="K4297" s="288"/>
    </row>
    <row r="4298" spans="4:11" x14ac:dyDescent="0.2">
      <c r="D4298" s="308"/>
      <c r="E4298" s="291"/>
      <c r="F4298" s="291"/>
      <c r="G4298" s="291"/>
      <c r="H4298" s="287"/>
      <c r="I4298" s="211"/>
      <c r="J4298" s="211"/>
      <c r="K4298" s="288"/>
    </row>
    <row r="4299" spans="4:11" x14ac:dyDescent="0.2">
      <c r="D4299" s="308"/>
      <c r="E4299" s="291"/>
      <c r="F4299" s="291"/>
      <c r="G4299" s="291"/>
      <c r="H4299" s="287"/>
      <c r="I4299" s="211"/>
      <c r="J4299" s="211"/>
      <c r="K4299" s="288"/>
    </row>
    <row r="4300" spans="4:11" x14ac:dyDescent="0.2">
      <c r="D4300" s="308"/>
      <c r="E4300" s="291"/>
      <c r="F4300" s="291"/>
      <c r="G4300" s="291"/>
      <c r="H4300" s="287"/>
      <c r="I4300" s="211"/>
      <c r="J4300" s="211"/>
      <c r="K4300" s="288"/>
    </row>
    <row r="4301" spans="4:11" x14ac:dyDescent="0.2">
      <c r="D4301" s="308"/>
      <c r="E4301" s="291"/>
      <c r="F4301" s="291"/>
      <c r="G4301" s="291"/>
      <c r="H4301" s="287"/>
      <c r="I4301" s="211"/>
      <c r="J4301" s="211"/>
      <c r="K4301" s="288"/>
    </row>
    <row r="4302" spans="4:11" x14ac:dyDescent="0.2">
      <c r="D4302" s="308"/>
      <c r="E4302" s="291"/>
      <c r="F4302" s="291"/>
      <c r="G4302" s="291"/>
      <c r="H4302" s="287"/>
      <c r="I4302" s="211"/>
      <c r="J4302" s="211"/>
      <c r="K4302" s="288"/>
    </row>
    <row r="4303" spans="4:11" x14ac:dyDescent="0.2">
      <c r="D4303" s="308"/>
      <c r="E4303" s="291"/>
      <c r="F4303" s="291"/>
      <c r="G4303" s="291"/>
      <c r="H4303" s="287"/>
      <c r="I4303" s="211"/>
      <c r="J4303" s="211"/>
      <c r="K4303" s="288"/>
    </row>
    <row r="4304" spans="4:11" x14ac:dyDescent="0.2">
      <c r="D4304" s="308"/>
      <c r="E4304" s="291"/>
      <c r="F4304" s="291"/>
      <c r="G4304" s="291"/>
      <c r="H4304" s="287"/>
      <c r="I4304" s="211"/>
      <c r="J4304" s="211"/>
      <c r="K4304" s="288"/>
    </row>
    <row r="4305" spans="4:11" x14ac:dyDescent="0.2">
      <c r="D4305" s="308"/>
      <c r="E4305" s="291"/>
      <c r="F4305" s="291"/>
      <c r="G4305" s="291"/>
      <c r="H4305" s="287"/>
      <c r="I4305" s="211"/>
      <c r="J4305" s="211"/>
      <c r="K4305" s="288"/>
    </row>
    <row r="4306" spans="4:11" x14ac:dyDescent="0.2">
      <c r="D4306" s="308"/>
      <c r="E4306" s="291"/>
      <c r="F4306" s="291"/>
      <c r="G4306" s="291"/>
      <c r="H4306" s="287"/>
      <c r="I4306" s="211"/>
      <c r="J4306" s="211"/>
      <c r="K4306" s="288"/>
    </row>
    <row r="4307" spans="4:11" x14ac:dyDescent="0.2">
      <c r="D4307" s="308"/>
      <c r="E4307" s="291"/>
      <c r="F4307" s="291"/>
      <c r="G4307" s="291"/>
      <c r="H4307" s="287"/>
      <c r="I4307" s="211"/>
      <c r="J4307" s="211"/>
      <c r="K4307" s="288"/>
    </row>
    <row r="4308" spans="4:11" x14ac:dyDescent="0.2">
      <c r="D4308" s="308"/>
      <c r="E4308" s="291"/>
      <c r="F4308" s="291"/>
      <c r="G4308" s="291"/>
      <c r="H4308" s="287"/>
      <c r="I4308" s="211"/>
      <c r="J4308" s="211"/>
      <c r="K4308" s="288"/>
    </row>
    <row r="4309" spans="4:11" x14ac:dyDescent="0.2">
      <c r="D4309" s="308"/>
      <c r="E4309" s="291"/>
      <c r="F4309" s="291"/>
      <c r="G4309" s="291"/>
      <c r="H4309" s="287"/>
      <c r="I4309" s="211"/>
      <c r="J4309" s="211"/>
      <c r="K4309" s="288"/>
    </row>
    <row r="4310" spans="4:11" x14ac:dyDescent="0.2">
      <c r="D4310" s="308"/>
      <c r="E4310" s="291"/>
      <c r="F4310" s="291"/>
      <c r="G4310" s="291"/>
      <c r="H4310" s="287"/>
      <c r="I4310" s="211"/>
      <c r="J4310" s="211"/>
      <c r="K4310" s="288"/>
    </row>
    <row r="4311" spans="4:11" x14ac:dyDescent="0.2">
      <c r="D4311" s="308"/>
      <c r="E4311" s="291"/>
      <c r="F4311" s="291"/>
      <c r="G4311" s="291"/>
      <c r="H4311" s="287"/>
      <c r="I4311" s="211"/>
      <c r="J4311" s="211"/>
      <c r="K4311" s="288"/>
    </row>
    <row r="4312" spans="4:11" x14ac:dyDescent="0.2">
      <c r="D4312" s="308"/>
      <c r="E4312" s="291"/>
      <c r="F4312" s="291"/>
      <c r="G4312" s="291"/>
      <c r="H4312" s="287"/>
      <c r="I4312" s="211"/>
      <c r="J4312" s="211"/>
      <c r="K4312" s="288"/>
    </row>
    <row r="4313" spans="4:11" x14ac:dyDescent="0.2">
      <c r="D4313" s="308"/>
      <c r="E4313" s="291"/>
      <c r="F4313" s="291"/>
      <c r="G4313" s="291"/>
      <c r="H4313" s="287"/>
      <c r="I4313" s="211"/>
      <c r="J4313" s="211"/>
      <c r="K4313" s="288"/>
    </row>
    <row r="4314" spans="4:11" x14ac:dyDescent="0.2">
      <c r="D4314" s="308"/>
      <c r="E4314" s="291"/>
      <c r="F4314" s="291"/>
      <c r="G4314" s="291"/>
      <c r="H4314" s="287"/>
      <c r="I4314" s="211"/>
      <c r="J4314" s="211"/>
      <c r="K4314" s="288"/>
    </row>
    <row r="4315" spans="4:11" x14ac:dyDescent="0.2">
      <c r="D4315" s="308"/>
      <c r="E4315" s="291"/>
      <c r="F4315" s="291"/>
      <c r="G4315" s="291"/>
      <c r="H4315" s="287"/>
      <c r="I4315" s="211"/>
      <c r="J4315" s="211"/>
      <c r="K4315" s="288"/>
    </row>
    <row r="4316" spans="4:11" x14ac:dyDescent="0.2">
      <c r="D4316" s="308"/>
      <c r="E4316" s="291"/>
      <c r="F4316" s="291"/>
      <c r="G4316" s="291"/>
      <c r="H4316" s="287"/>
      <c r="I4316" s="211"/>
      <c r="J4316" s="211"/>
      <c r="K4316" s="288"/>
    </row>
    <row r="4317" spans="4:11" x14ac:dyDescent="0.2">
      <c r="D4317" s="308"/>
      <c r="E4317" s="291"/>
      <c r="F4317" s="291"/>
      <c r="G4317" s="291"/>
      <c r="H4317" s="287"/>
      <c r="I4317" s="211"/>
      <c r="J4317" s="211"/>
      <c r="K4317" s="288"/>
    </row>
    <row r="4318" spans="4:11" x14ac:dyDescent="0.2">
      <c r="D4318" s="308"/>
      <c r="E4318" s="291"/>
      <c r="F4318" s="291"/>
      <c r="G4318" s="291"/>
      <c r="H4318" s="287"/>
      <c r="I4318" s="211"/>
      <c r="J4318" s="211"/>
      <c r="K4318" s="288"/>
    </row>
    <row r="4319" spans="4:11" x14ac:dyDescent="0.2">
      <c r="D4319" s="308"/>
      <c r="E4319" s="291"/>
      <c r="F4319" s="291"/>
      <c r="G4319" s="291"/>
      <c r="H4319" s="287"/>
      <c r="I4319" s="211"/>
      <c r="J4319" s="211"/>
      <c r="K4319" s="288"/>
    </row>
    <row r="4320" spans="4:11" x14ac:dyDescent="0.2">
      <c r="D4320" s="308"/>
      <c r="E4320" s="291"/>
      <c r="F4320" s="291"/>
      <c r="G4320" s="291"/>
      <c r="H4320" s="287"/>
      <c r="I4320" s="211"/>
      <c r="J4320" s="211"/>
      <c r="K4320" s="288"/>
    </row>
    <row r="4321" spans="4:11" x14ac:dyDescent="0.2">
      <c r="D4321" s="308"/>
      <c r="E4321" s="291"/>
      <c r="F4321" s="291"/>
      <c r="G4321" s="291"/>
      <c r="H4321" s="287"/>
      <c r="I4321" s="211"/>
      <c r="J4321" s="211"/>
      <c r="K4321" s="288"/>
    </row>
    <row r="4322" spans="4:11" x14ac:dyDescent="0.2">
      <c r="D4322" s="308"/>
      <c r="E4322" s="291"/>
      <c r="F4322" s="291"/>
      <c r="G4322" s="291"/>
      <c r="H4322" s="287"/>
      <c r="I4322" s="211"/>
      <c r="J4322" s="211"/>
      <c r="K4322" s="288"/>
    </row>
    <row r="4323" spans="4:11" x14ac:dyDescent="0.2">
      <c r="D4323" s="308"/>
      <c r="E4323" s="291"/>
      <c r="F4323" s="291"/>
      <c r="G4323" s="291"/>
      <c r="H4323" s="287"/>
      <c r="I4323" s="211"/>
      <c r="J4323" s="211"/>
      <c r="K4323" s="288"/>
    </row>
    <row r="4324" spans="4:11" x14ac:dyDescent="0.2">
      <c r="D4324" s="308"/>
      <c r="E4324" s="291"/>
      <c r="F4324" s="291"/>
      <c r="G4324" s="291"/>
      <c r="H4324" s="287"/>
      <c r="I4324" s="211"/>
      <c r="J4324" s="211"/>
      <c r="K4324" s="288"/>
    </row>
    <row r="4325" spans="4:11" x14ac:dyDescent="0.2">
      <c r="D4325" s="308"/>
      <c r="E4325" s="291"/>
      <c r="F4325" s="291"/>
      <c r="G4325" s="291"/>
      <c r="H4325" s="287"/>
      <c r="I4325" s="211"/>
      <c r="J4325" s="211"/>
      <c r="K4325" s="288"/>
    </row>
    <row r="4326" spans="4:11" x14ac:dyDescent="0.2">
      <c r="D4326" s="308"/>
      <c r="E4326" s="291"/>
      <c r="F4326" s="291"/>
      <c r="G4326" s="291"/>
      <c r="H4326" s="287"/>
      <c r="I4326" s="211"/>
      <c r="J4326" s="211"/>
      <c r="K4326" s="288"/>
    </row>
    <row r="4327" spans="4:11" x14ac:dyDescent="0.2">
      <c r="D4327" s="308"/>
      <c r="E4327" s="291"/>
      <c r="F4327" s="291"/>
      <c r="G4327" s="291"/>
      <c r="H4327" s="287"/>
      <c r="I4327" s="211"/>
      <c r="J4327" s="211"/>
      <c r="K4327" s="288"/>
    </row>
    <row r="4328" spans="4:11" x14ac:dyDescent="0.2">
      <c r="D4328" s="308"/>
      <c r="E4328" s="291"/>
      <c r="F4328" s="291"/>
      <c r="G4328" s="291"/>
      <c r="H4328" s="287"/>
      <c r="I4328" s="211"/>
      <c r="J4328" s="211"/>
      <c r="K4328" s="288"/>
    </row>
    <row r="4329" spans="4:11" x14ac:dyDescent="0.2">
      <c r="D4329" s="308"/>
      <c r="E4329" s="291"/>
      <c r="F4329" s="291"/>
      <c r="G4329" s="291"/>
      <c r="H4329" s="287"/>
      <c r="I4329" s="211"/>
      <c r="J4329" s="211"/>
      <c r="K4329" s="288"/>
    </row>
    <row r="4330" spans="4:11" x14ac:dyDescent="0.2">
      <c r="D4330" s="308"/>
      <c r="E4330" s="291"/>
      <c r="F4330" s="291"/>
      <c r="G4330" s="291"/>
      <c r="H4330" s="287"/>
      <c r="I4330" s="211"/>
      <c r="J4330" s="211"/>
      <c r="K4330" s="288"/>
    </row>
    <row r="4331" spans="4:11" x14ac:dyDescent="0.2">
      <c r="D4331" s="308"/>
      <c r="E4331" s="291"/>
      <c r="F4331" s="291"/>
      <c r="G4331" s="291"/>
      <c r="H4331" s="287"/>
      <c r="I4331" s="211"/>
      <c r="J4331" s="211"/>
      <c r="K4331" s="288"/>
    </row>
    <row r="4332" spans="4:11" x14ac:dyDescent="0.2">
      <c r="D4332" s="308"/>
      <c r="E4332" s="291"/>
      <c r="F4332" s="291"/>
      <c r="G4332" s="291"/>
      <c r="H4332" s="287"/>
      <c r="I4332" s="211"/>
      <c r="J4332" s="211"/>
      <c r="K4332" s="288"/>
    </row>
    <row r="4333" spans="4:11" x14ac:dyDescent="0.2">
      <c r="D4333" s="308"/>
      <c r="E4333" s="291"/>
      <c r="F4333" s="291"/>
      <c r="G4333" s="291"/>
      <c r="H4333" s="287"/>
      <c r="I4333" s="211"/>
      <c r="J4333" s="211"/>
      <c r="K4333" s="288"/>
    </row>
    <row r="4334" spans="4:11" x14ac:dyDescent="0.2">
      <c r="D4334" s="308"/>
      <c r="E4334" s="291"/>
      <c r="F4334" s="291"/>
      <c r="G4334" s="291"/>
      <c r="H4334" s="287"/>
      <c r="I4334" s="211"/>
      <c r="J4334" s="211"/>
      <c r="K4334" s="288"/>
    </row>
    <row r="4335" spans="4:11" x14ac:dyDescent="0.2">
      <c r="D4335" s="308"/>
      <c r="E4335" s="291"/>
      <c r="F4335" s="291"/>
      <c r="G4335" s="291"/>
      <c r="H4335" s="287"/>
      <c r="I4335" s="211"/>
      <c r="J4335" s="211"/>
      <c r="K4335" s="288"/>
    </row>
    <row r="4336" spans="4:11" x14ac:dyDescent="0.2">
      <c r="D4336" s="308"/>
      <c r="E4336" s="291"/>
      <c r="F4336" s="291"/>
      <c r="G4336" s="291"/>
      <c r="H4336" s="287"/>
      <c r="I4336" s="211"/>
      <c r="J4336" s="211"/>
      <c r="K4336" s="288"/>
    </row>
    <row r="4337" spans="4:11" x14ac:dyDescent="0.2">
      <c r="D4337" s="308"/>
      <c r="E4337" s="291"/>
      <c r="F4337" s="291"/>
      <c r="G4337" s="291"/>
      <c r="H4337" s="287"/>
      <c r="I4337" s="211"/>
      <c r="J4337" s="211"/>
      <c r="K4337" s="288"/>
    </row>
    <row r="4338" spans="4:11" x14ac:dyDescent="0.2">
      <c r="D4338" s="308"/>
      <c r="E4338" s="291"/>
      <c r="F4338" s="291"/>
      <c r="G4338" s="291"/>
      <c r="H4338" s="287"/>
      <c r="I4338" s="211"/>
      <c r="J4338" s="211"/>
      <c r="K4338" s="288"/>
    </row>
    <row r="4339" spans="4:11" x14ac:dyDescent="0.2">
      <c r="D4339" s="308"/>
      <c r="E4339" s="291"/>
      <c r="F4339" s="291"/>
      <c r="G4339" s="291"/>
      <c r="H4339" s="287"/>
      <c r="I4339" s="211"/>
      <c r="J4339" s="211"/>
      <c r="K4339" s="288"/>
    </row>
    <row r="4340" spans="4:11" x14ac:dyDescent="0.2">
      <c r="D4340" s="308"/>
      <c r="E4340" s="291"/>
      <c r="F4340" s="291"/>
      <c r="G4340" s="291"/>
      <c r="H4340" s="287"/>
      <c r="I4340" s="211"/>
      <c r="J4340" s="211"/>
      <c r="K4340" s="288"/>
    </row>
    <row r="4341" spans="4:11" x14ac:dyDescent="0.2">
      <c r="D4341" s="308"/>
      <c r="E4341" s="291"/>
      <c r="F4341" s="291"/>
      <c r="G4341" s="291"/>
      <c r="H4341" s="287"/>
      <c r="I4341" s="211"/>
      <c r="J4341" s="211"/>
      <c r="K4341" s="288"/>
    </row>
    <row r="4342" spans="4:11" x14ac:dyDescent="0.2">
      <c r="D4342" s="308"/>
      <c r="E4342" s="291"/>
      <c r="F4342" s="291"/>
      <c r="G4342" s="291"/>
      <c r="H4342" s="287"/>
      <c r="I4342" s="211"/>
      <c r="J4342" s="211"/>
      <c r="K4342" s="288"/>
    </row>
    <row r="4343" spans="4:11" x14ac:dyDescent="0.2">
      <c r="D4343" s="308"/>
      <c r="E4343" s="291"/>
      <c r="F4343" s="291"/>
      <c r="G4343" s="291"/>
      <c r="H4343" s="287"/>
      <c r="I4343" s="211"/>
      <c r="J4343" s="211"/>
      <c r="K4343" s="288"/>
    </row>
    <row r="4344" spans="4:11" x14ac:dyDescent="0.2">
      <c r="D4344" s="308"/>
      <c r="E4344" s="291"/>
      <c r="F4344" s="291"/>
      <c r="G4344" s="291"/>
      <c r="H4344" s="287"/>
      <c r="I4344" s="211"/>
      <c r="J4344" s="211"/>
      <c r="K4344" s="288"/>
    </row>
    <row r="4345" spans="4:11" x14ac:dyDescent="0.2">
      <c r="D4345" s="308"/>
      <c r="E4345" s="291"/>
      <c r="F4345" s="291"/>
      <c r="G4345" s="291"/>
      <c r="H4345" s="287"/>
      <c r="I4345" s="211"/>
      <c r="J4345" s="211"/>
      <c r="K4345" s="288"/>
    </row>
    <row r="4346" spans="4:11" x14ac:dyDescent="0.2">
      <c r="D4346" s="308"/>
      <c r="E4346" s="291"/>
      <c r="F4346" s="291"/>
      <c r="G4346" s="291"/>
      <c r="H4346" s="287"/>
      <c r="I4346" s="211"/>
      <c r="J4346" s="211"/>
      <c r="K4346" s="288"/>
    </row>
    <row r="4347" spans="4:11" x14ac:dyDescent="0.2">
      <c r="D4347" s="308"/>
      <c r="E4347" s="291"/>
      <c r="F4347" s="291"/>
      <c r="G4347" s="291"/>
      <c r="H4347" s="287"/>
      <c r="I4347" s="211"/>
      <c r="J4347" s="211"/>
      <c r="K4347" s="288"/>
    </row>
    <row r="4348" spans="4:11" x14ac:dyDescent="0.2">
      <c r="D4348" s="308"/>
      <c r="E4348" s="291"/>
      <c r="F4348" s="291"/>
      <c r="G4348" s="291"/>
      <c r="H4348" s="287"/>
      <c r="I4348" s="211"/>
      <c r="J4348" s="211"/>
      <c r="K4348" s="288"/>
    </row>
    <row r="4349" spans="4:11" x14ac:dyDescent="0.2">
      <c r="D4349" s="308"/>
      <c r="E4349" s="291"/>
      <c r="F4349" s="291"/>
      <c r="G4349" s="291"/>
      <c r="H4349" s="287"/>
      <c r="I4349" s="211"/>
      <c r="J4349" s="211"/>
      <c r="K4349" s="288"/>
    </row>
    <row r="4350" spans="4:11" x14ac:dyDescent="0.2">
      <c r="D4350" s="308"/>
      <c r="E4350" s="291"/>
      <c r="F4350" s="291"/>
      <c r="G4350" s="291"/>
      <c r="H4350" s="287"/>
      <c r="I4350" s="211"/>
      <c r="J4350" s="211"/>
      <c r="K4350" s="288"/>
    </row>
    <row r="4351" spans="4:11" x14ac:dyDescent="0.2">
      <c r="D4351" s="308"/>
      <c r="E4351" s="291"/>
      <c r="F4351" s="291"/>
      <c r="G4351" s="291"/>
      <c r="H4351" s="287"/>
      <c r="I4351" s="211"/>
      <c r="J4351" s="211"/>
      <c r="K4351" s="288"/>
    </row>
    <row r="4352" spans="4:11" x14ac:dyDescent="0.2">
      <c r="D4352" s="308"/>
      <c r="E4352" s="291"/>
      <c r="F4352" s="291"/>
      <c r="G4352" s="291"/>
      <c r="H4352" s="287"/>
      <c r="I4352" s="211"/>
      <c r="J4352" s="211"/>
      <c r="K4352" s="288"/>
    </row>
    <row r="4353" spans="4:11" x14ac:dyDescent="0.2">
      <c r="D4353" s="308"/>
      <c r="E4353" s="291"/>
      <c r="F4353" s="291"/>
      <c r="G4353" s="291"/>
      <c r="H4353" s="287"/>
      <c r="I4353" s="211"/>
      <c r="J4353" s="211"/>
      <c r="K4353" s="288"/>
    </row>
    <row r="4354" spans="4:11" x14ac:dyDescent="0.2">
      <c r="D4354" s="308"/>
      <c r="E4354" s="291"/>
      <c r="F4354" s="291"/>
      <c r="G4354" s="291"/>
      <c r="H4354" s="287"/>
      <c r="I4354" s="211"/>
      <c r="J4354" s="211"/>
      <c r="K4354" s="288"/>
    </row>
    <row r="4355" spans="4:11" x14ac:dyDescent="0.2">
      <c r="D4355" s="308"/>
      <c r="E4355" s="291"/>
      <c r="F4355" s="291"/>
      <c r="G4355" s="291"/>
      <c r="H4355" s="287"/>
      <c r="I4355" s="211"/>
      <c r="J4355" s="211"/>
      <c r="K4355" s="288"/>
    </row>
    <row r="4356" spans="4:11" x14ac:dyDescent="0.2">
      <c r="D4356" s="308"/>
      <c r="E4356" s="291"/>
      <c r="F4356" s="291"/>
      <c r="G4356" s="291"/>
      <c r="H4356" s="287"/>
      <c r="I4356" s="211"/>
      <c r="J4356" s="211"/>
      <c r="K4356" s="288"/>
    </row>
    <row r="4357" spans="4:11" x14ac:dyDescent="0.2">
      <c r="D4357" s="308"/>
      <c r="E4357" s="291"/>
      <c r="F4357" s="291"/>
      <c r="G4357" s="291"/>
      <c r="H4357" s="287"/>
      <c r="I4357" s="211"/>
      <c r="J4357" s="211"/>
      <c r="K4357" s="288"/>
    </row>
    <row r="4358" spans="4:11" x14ac:dyDescent="0.2">
      <c r="D4358" s="308"/>
      <c r="E4358" s="291"/>
      <c r="F4358" s="291"/>
      <c r="G4358" s="291"/>
      <c r="H4358" s="287"/>
      <c r="I4358" s="211"/>
      <c r="J4358" s="211"/>
      <c r="K4358" s="288"/>
    </row>
    <row r="4359" spans="4:11" x14ac:dyDescent="0.2">
      <c r="D4359" s="308"/>
      <c r="E4359" s="291"/>
      <c r="F4359" s="291"/>
      <c r="G4359" s="291"/>
      <c r="H4359" s="287"/>
      <c r="I4359" s="211"/>
      <c r="J4359" s="211"/>
      <c r="K4359" s="288"/>
    </row>
    <row r="4360" spans="4:11" x14ac:dyDescent="0.2">
      <c r="D4360" s="308"/>
      <c r="E4360" s="291"/>
      <c r="F4360" s="291"/>
      <c r="G4360" s="291"/>
      <c r="H4360" s="287"/>
      <c r="I4360" s="211"/>
      <c r="J4360" s="211"/>
      <c r="K4360" s="288"/>
    </row>
    <row r="4361" spans="4:11" x14ac:dyDescent="0.2">
      <c r="D4361" s="308"/>
      <c r="E4361" s="291"/>
      <c r="F4361" s="291"/>
      <c r="G4361" s="291"/>
      <c r="H4361" s="287"/>
      <c r="I4361" s="211"/>
      <c r="J4361" s="211"/>
      <c r="K4361" s="288"/>
    </row>
    <row r="4362" spans="4:11" x14ac:dyDescent="0.2">
      <c r="D4362" s="308"/>
      <c r="E4362" s="291"/>
      <c r="F4362" s="291"/>
      <c r="G4362" s="291"/>
      <c r="H4362" s="287"/>
      <c r="I4362" s="211"/>
      <c r="J4362" s="211"/>
      <c r="K4362" s="288"/>
    </row>
    <row r="4363" spans="4:11" x14ac:dyDescent="0.2">
      <c r="D4363" s="308"/>
      <c r="E4363" s="291"/>
      <c r="F4363" s="291"/>
      <c r="G4363" s="291"/>
      <c r="H4363" s="287"/>
      <c r="I4363" s="211"/>
      <c r="J4363" s="211"/>
      <c r="K4363" s="288"/>
    </row>
    <row r="4364" spans="4:11" x14ac:dyDescent="0.2">
      <c r="D4364" s="308"/>
      <c r="E4364" s="291"/>
      <c r="F4364" s="291"/>
      <c r="G4364" s="291"/>
      <c r="H4364" s="287"/>
      <c r="I4364" s="211"/>
      <c r="J4364" s="211"/>
      <c r="K4364" s="288"/>
    </row>
    <row r="4365" spans="4:11" x14ac:dyDescent="0.2">
      <c r="D4365" s="308"/>
      <c r="E4365" s="291"/>
      <c r="F4365" s="291"/>
      <c r="G4365" s="291"/>
      <c r="H4365" s="287"/>
      <c r="I4365" s="211"/>
      <c r="J4365" s="211"/>
      <c r="K4365" s="288"/>
    </row>
    <row r="4366" spans="4:11" x14ac:dyDescent="0.2">
      <c r="D4366" s="308"/>
      <c r="E4366" s="291"/>
      <c r="F4366" s="291"/>
      <c r="G4366" s="291"/>
      <c r="H4366" s="287"/>
      <c r="I4366" s="211"/>
      <c r="J4366" s="211"/>
      <c r="K4366" s="288"/>
    </row>
    <row r="4367" spans="4:11" x14ac:dyDescent="0.2">
      <c r="D4367" s="308"/>
      <c r="E4367" s="291"/>
      <c r="F4367" s="291"/>
      <c r="G4367" s="291"/>
      <c r="H4367" s="287"/>
      <c r="I4367" s="211"/>
      <c r="J4367" s="211"/>
      <c r="K4367" s="288"/>
    </row>
    <row r="4368" spans="4:11" x14ac:dyDescent="0.2">
      <c r="D4368" s="308"/>
      <c r="E4368" s="291"/>
      <c r="F4368" s="291"/>
      <c r="G4368" s="291"/>
      <c r="H4368" s="287"/>
      <c r="I4368" s="211"/>
      <c r="J4368" s="211"/>
      <c r="K4368" s="288"/>
    </row>
    <row r="4369" spans="4:11" x14ac:dyDescent="0.2">
      <c r="D4369" s="308"/>
      <c r="E4369" s="291"/>
      <c r="F4369" s="291"/>
      <c r="G4369" s="291"/>
      <c r="H4369" s="287"/>
      <c r="I4369" s="211"/>
      <c r="J4369" s="211"/>
      <c r="K4369" s="288"/>
    </row>
    <row r="4370" spans="4:11" x14ac:dyDescent="0.2">
      <c r="D4370" s="308"/>
      <c r="E4370" s="291"/>
      <c r="F4370" s="291"/>
      <c r="G4370" s="291"/>
      <c r="H4370" s="287"/>
      <c r="I4370" s="211"/>
      <c r="J4370" s="211"/>
      <c r="K4370" s="288"/>
    </row>
    <row r="4371" spans="4:11" x14ac:dyDescent="0.2">
      <c r="D4371" s="308"/>
      <c r="E4371" s="291"/>
      <c r="F4371" s="291"/>
      <c r="G4371" s="291"/>
      <c r="H4371" s="287"/>
      <c r="I4371" s="211"/>
      <c r="J4371" s="211"/>
      <c r="K4371" s="288"/>
    </row>
    <row r="4372" spans="4:11" x14ac:dyDescent="0.2">
      <c r="D4372" s="308"/>
      <c r="E4372" s="291"/>
      <c r="F4372" s="291"/>
      <c r="G4372" s="291"/>
      <c r="H4372" s="287"/>
      <c r="I4372" s="211"/>
      <c r="J4372" s="211"/>
      <c r="K4372" s="288"/>
    </row>
    <row r="4373" spans="4:11" x14ac:dyDescent="0.2">
      <c r="D4373" s="308"/>
      <c r="E4373" s="291"/>
      <c r="F4373" s="291"/>
      <c r="G4373" s="291"/>
      <c r="H4373" s="287"/>
      <c r="I4373" s="211"/>
      <c r="J4373" s="211"/>
      <c r="K4373" s="288"/>
    </row>
    <row r="4374" spans="4:11" x14ac:dyDescent="0.2">
      <c r="D4374" s="308"/>
      <c r="E4374" s="291"/>
      <c r="F4374" s="291"/>
      <c r="G4374" s="291"/>
      <c r="H4374" s="287"/>
      <c r="I4374" s="211"/>
      <c r="J4374" s="211"/>
      <c r="K4374" s="288"/>
    </row>
    <row r="4375" spans="4:11" x14ac:dyDescent="0.2">
      <c r="D4375" s="308"/>
      <c r="E4375" s="291"/>
      <c r="F4375" s="291"/>
      <c r="G4375" s="291"/>
      <c r="H4375" s="287"/>
      <c r="I4375" s="211"/>
      <c r="J4375" s="211"/>
      <c r="K4375" s="288"/>
    </row>
    <row r="4376" spans="4:11" x14ac:dyDescent="0.2">
      <c r="D4376" s="308"/>
      <c r="E4376" s="291"/>
      <c r="F4376" s="291"/>
      <c r="G4376" s="291"/>
      <c r="H4376" s="287"/>
      <c r="I4376" s="211"/>
      <c r="J4376" s="211"/>
      <c r="K4376" s="288"/>
    </row>
    <row r="4377" spans="4:11" x14ac:dyDescent="0.2">
      <c r="D4377" s="308"/>
      <c r="E4377" s="291"/>
      <c r="F4377" s="291"/>
      <c r="G4377" s="291"/>
      <c r="H4377" s="287"/>
      <c r="I4377" s="211"/>
      <c r="J4377" s="211"/>
      <c r="K4377" s="288"/>
    </row>
    <row r="4378" spans="4:11" x14ac:dyDescent="0.2">
      <c r="D4378" s="308"/>
      <c r="E4378" s="291"/>
      <c r="F4378" s="291"/>
      <c r="G4378" s="291"/>
      <c r="H4378" s="287"/>
      <c r="I4378" s="211"/>
      <c r="J4378" s="211"/>
      <c r="K4378" s="288"/>
    </row>
    <row r="4379" spans="4:11" x14ac:dyDescent="0.2">
      <c r="D4379" s="308"/>
      <c r="E4379" s="291"/>
      <c r="F4379" s="291"/>
      <c r="G4379" s="291"/>
      <c r="H4379" s="287"/>
      <c r="I4379" s="211"/>
      <c r="J4379" s="211"/>
      <c r="K4379" s="288"/>
    </row>
    <row r="4380" spans="4:11" x14ac:dyDescent="0.2">
      <c r="D4380" s="308"/>
      <c r="E4380" s="291"/>
      <c r="F4380" s="291"/>
      <c r="G4380" s="291"/>
      <c r="H4380" s="287"/>
      <c r="I4380" s="211"/>
      <c r="J4380" s="211"/>
      <c r="K4380" s="288"/>
    </row>
    <row r="4381" spans="4:11" x14ac:dyDescent="0.2">
      <c r="D4381" s="308"/>
      <c r="E4381" s="291"/>
      <c r="F4381" s="291"/>
      <c r="G4381" s="291"/>
      <c r="H4381" s="287"/>
      <c r="I4381" s="211"/>
      <c r="J4381" s="211"/>
      <c r="K4381" s="288"/>
    </row>
    <row r="4382" spans="4:11" x14ac:dyDescent="0.2">
      <c r="D4382" s="308"/>
      <c r="E4382" s="291"/>
      <c r="F4382" s="291"/>
      <c r="G4382" s="291"/>
      <c r="H4382" s="287"/>
      <c r="I4382" s="211"/>
      <c r="J4382" s="211"/>
      <c r="K4382" s="288"/>
    </row>
    <row r="4383" spans="4:11" x14ac:dyDescent="0.2">
      <c r="D4383" s="308"/>
      <c r="E4383" s="291"/>
      <c r="F4383" s="291"/>
      <c r="G4383" s="291"/>
      <c r="H4383" s="287"/>
      <c r="I4383" s="211"/>
      <c r="J4383" s="211"/>
      <c r="K4383" s="288"/>
    </row>
    <row r="4384" spans="4:11" x14ac:dyDescent="0.2">
      <c r="D4384" s="308"/>
      <c r="E4384" s="291"/>
      <c r="F4384" s="291"/>
      <c r="G4384" s="291"/>
      <c r="H4384" s="287"/>
      <c r="I4384" s="211"/>
      <c r="J4384" s="211"/>
      <c r="K4384" s="288"/>
    </row>
    <row r="4385" spans="4:11" x14ac:dyDescent="0.2">
      <c r="D4385" s="308"/>
      <c r="E4385" s="291"/>
      <c r="F4385" s="291"/>
      <c r="G4385" s="291"/>
      <c r="H4385" s="287"/>
      <c r="I4385" s="211"/>
      <c r="J4385" s="211"/>
      <c r="K4385" s="288"/>
    </row>
    <row r="4386" spans="4:11" x14ac:dyDescent="0.2">
      <c r="D4386" s="308"/>
      <c r="E4386" s="291"/>
      <c r="F4386" s="291"/>
      <c r="G4386" s="291"/>
      <c r="H4386" s="287"/>
      <c r="I4386" s="211"/>
      <c r="J4386" s="211"/>
      <c r="K4386" s="288"/>
    </row>
    <row r="4387" spans="4:11" x14ac:dyDescent="0.2">
      <c r="D4387" s="308"/>
      <c r="E4387" s="291"/>
      <c r="F4387" s="291"/>
      <c r="G4387" s="291"/>
      <c r="H4387" s="287"/>
      <c r="I4387" s="211"/>
      <c r="J4387" s="211"/>
      <c r="K4387" s="288"/>
    </row>
    <row r="4388" spans="4:11" x14ac:dyDescent="0.2">
      <c r="D4388" s="308"/>
      <c r="E4388" s="291"/>
      <c r="F4388" s="291"/>
      <c r="G4388" s="291"/>
      <c r="H4388" s="287"/>
      <c r="I4388" s="211"/>
      <c r="J4388" s="211"/>
      <c r="K4388" s="288"/>
    </row>
    <row r="4389" spans="4:11" x14ac:dyDescent="0.2">
      <c r="D4389" s="308"/>
      <c r="E4389" s="291"/>
      <c r="F4389" s="291"/>
      <c r="G4389" s="291"/>
      <c r="H4389" s="287"/>
      <c r="I4389" s="211"/>
      <c r="J4389" s="211"/>
      <c r="K4389" s="288"/>
    </row>
    <row r="4390" spans="4:11" x14ac:dyDescent="0.2">
      <c r="D4390" s="308"/>
      <c r="E4390" s="291"/>
      <c r="F4390" s="291"/>
      <c r="G4390" s="291"/>
      <c r="H4390" s="287"/>
      <c r="I4390" s="211"/>
      <c r="J4390" s="211"/>
      <c r="K4390" s="288"/>
    </row>
    <row r="4391" spans="4:11" x14ac:dyDescent="0.2">
      <c r="D4391" s="308"/>
      <c r="E4391" s="291"/>
      <c r="F4391" s="291"/>
      <c r="G4391" s="291"/>
      <c r="H4391" s="287"/>
      <c r="I4391" s="211"/>
      <c r="J4391" s="211"/>
      <c r="K4391" s="288"/>
    </row>
    <row r="4392" spans="4:11" x14ac:dyDescent="0.2">
      <c r="D4392" s="308"/>
      <c r="E4392" s="291"/>
      <c r="F4392" s="291"/>
      <c r="G4392" s="291"/>
      <c r="H4392" s="287"/>
      <c r="I4392" s="211"/>
      <c r="J4392" s="211"/>
      <c r="K4392" s="288"/>
    </row>
    <row r="4393" spans="4:11" x14ac:dyDescent="0.2">
      <c r="D4393" s="308"/>
      <c r="E4393" s="291"/>
      <c r="F4393" s="291"/>
      <c r="G4393" s="291"/>
      <c r="H4393" s="287"/>
      <c r="I4393" s="211"/>
      <c r="J4393" s="211"/>
      <c r="K4393" s="288"/>
    </row>
    <row r="4394" spans="4:11" x14ac:dyDescent="0.2">
      <c r="D4394" s="308"/>
      <c r="E4394" s="291"/>
      <c r="F4394" s="291"/>
      <c r="G4394" s="291"/>
      <c r="H4394" s="287"/>
      <c r="I4394" s="211"/>
      <c r="J4394" s="211"/>
      <c r="K4394" s="288"/>
    </row>
    <row r="4395" spans="4:11" x14ac:dyDescent="0.2">
      <c r="D4395" s="308"/>
      <c r="E4395" s="291"/>
      <c r="F4395" s="291"/>
      <c r="G4395" s="291"/>
      <c r="H4395" s="287"/>
      <c r="I4395" s="211"/>
      <c r="J4395" s="211"/>
      <c r="K4395" s="288"/>
    </row>
    <row r="4396" spans="4:11" x14ac:dyDescent="0.2">
      <c r="D4396" s="308"/>
      <c r="E4396" s="291"/>
      <c r="F4396" s="291"/>
      <c r="G4396" s="291"/>
      <c r="H4396" s="287"/>
      <c r="I4396" s="211"/>
      <c r="J4396" s="211"/>
      <c r="K4396" s="288"/>
    </row>
    <row r="4397" spans="4:11" x14ac:dyDescent="0.2">
      <c r="D4397" s="308"/>
      <c r="E4397" s="291"/>
      <c r="F4397" s="291"/>
      <c r="G4397" s="291"/>
      <c r="H4397" s="287"/>
      <c r="I4397" s="211"/>
      <c r="J4397" s="211"/>
      <c r="K4397" s="288"/>
    </row>
    <row r="4398" spans="4:11" x14ac:dyDescent="0.2">
      <c r="D4398" s="308"/>
      <c r="E4398" s="291"/>
      <c r="F4398" s="291"/>
      <c r="G4398" s="291"/>
      <c r="H4398" s="287"/>
      <c r="I4398" s="211"/>
      <c r="J4398" s="211"/>
      <c r="K4398" s="288"/>
    </row>
    <row r="4399" spans="4:11" x14ac:dyDescent="0.2">
      <c r="D4399" s="308"/>
      <c r="E4399" s="291"/>
      <c r="F4399" s="291"/>
      <c r="G4399" s="291"/>
      <c r="H4399" s="287"/>
      <c r="I4399" s="211"/>
      <c r="J4399" s="211"/>
      <c r="K4399" s="288"/>
    </row>
    <row r="4400" spans="4:11" x14ac:dyDescent="0.2">
      <c r="D4400" s="308"/>
      <c r="E4400" s="291"/>
      <c r="F4400" s="291"/>
      <c r="G4400" s="291"/>
      <c r="H4400" s="287"/>
      <c r="I4400" s="211"/>
      <c r="J4400" s="211"/>
      <c r="K4400" s="288"/>
    </row>
    <row r="4401" spans="4:11" x14ac:dyDescent="0.2">
      <c r="D4401" s="308"/>
      <c r="E4401" s="291"/>
      <c r="F4401" s="291"/>
      <c r="G4401" s="291"/>
      <c r="H4401" s="287"/>
      <c r="I4401" s="211"/>
      <c r="J4401" s="211"/>
      <c r="K4401" s="288"/>
    </row>
    <row r="4402" spans="4:11" x14ac:dyDescent="0.2">
      <c r="D4402" s="308"/>
      <c r="E4402" s="291"/>
      <c r="F4402" s="291"/>
      <c r="G4402" s="291"/>
      <c r="H4402" s="287"/>
      <c r="I4402" s="211"/>
      <c r="J4402" s="211"/>
      <c r="K4402" s="288"/>
    </row>
    <row r="4403" spans="4:11" x14ac:dyDescent="0.2">
      <c r="D4403" s="308"/>
      <c r="E4403" s="291"/>
      <c r="F4403" s="291"/>
      <c r="G4403" s="291"/>
      <c r="H4403" s="287"/>
      <c r="I4403" s="211"/>
      <c r="J4403" s="211"/>
      <c r="K4403" s="288"/>
    </row>
    <row r="4404" spans="4:11" x14ac:dyDescent="0.2">
      <c r="D4404" s="308"/>
      <c r="E4404" s="291"/>
      <c r="F4404" s="291"/>
      <c r="G4404" s="291"/>
      <c r="H4404" s="287"/>
      <c r="I4404" s="211"/>
      <c r="J4404" s="211"/>
      <c r="K4404" s="288"/>
    </row>
    <row r="4405" spans="4:11" x14ac:dyDescent="0.2">
      <c r="D4405" s="308"/>
      <c r="E4405" s="291"/>
      <c r="F4405" s="291"/>
      <c r="G4405" s="291"/>
      <c r="H4405" s="287"/>
      <c r="I4405" s="211"/>
      <c r="J4405" s="211"/>
      <c r="K4405" s="288"/>
    </row>
    <row r="4406" spans="4:11" x14ac:dyDescent="0.2">
      <c r="D4406" s="308"/>
      <c r="E4406" s="291"/>
      <c r="F4406" s="291"/>
      <c r="G4406" s="291"/>
      <c r="H4406" s="287"/>
      <c r="I4406" s="211"/>
      <c r="J4406" s="211"/>
      <c r="K4406" s="288"/>
    </row>
    <row r="4407" spans="4:11" x14ac:dyDescent="0.2">
      <c r="D4407" s="308"/>
      <c r="E4407" s="291"/>
      <c r="F4407" s="291"/>
      <c r="G4407" s="291"/>
      <c r="H4407" s="287"/>
      <c r="I4407" s="211"/>
      <c r="J4407" s="211"/>
      <c r="K4407" s="288"/>
    </row>
    <row r="4408" spans="4:11" x14ac:dyDescent="0.2">
      <c r="D4408" s="308"/>
      <c r="E4408" s="291"/>
      <c r="F4408" s="291"/>
      <c r="G4408" s="291"/>
      <c r="H4408" s="287"/>
      <c r="I4408" s="211"/>
      <c r="J4408" s="211"/>
      <c r="K4408" s="288"/>
    </row>
    <row r="4409" spans="4:11" x14ac:dyDescent="0.2">
      <c r="D4409" s="308"/>
      <c r="E4409" s="291"/>
      <c r="F4409" s="291"/>
      <c r="G4409" s="291"/>
      <c r="H4409" s="287"/>
      <c r="I4409" s="211"/>
      <c r="J4409" s="211"/>
      <c r="K4409" s="288"/>
    </row>
    <row r="4410" spans="4:11" x14ac:dyDescent="0.2">
      <c r="D4410" s="308"/>
      <c r="E4410" s="291"/>
      <c r="F4410" s="291"/>
      <c r="G4410" s="291"/>
      <c r="H4410" s="287"/>
      <c r="I4410" s="211"/>
      <c r="J4410" s="211"/>
      <c r="K4410" s="288"/>
    </row>
    <row r="4411" spans="4:11" x14ac:dyDescent="0.2">
      <c r="D4411" s="308"/>
      <c r="E4411" s="291"/>
      <c r="F4411" s="291"/>
      <c r="G4411" s="291"/>
      <c r="H4411" s="287"/>
      <c r="I4411" s="211"/>
      <c r="J4411" s="211"/>
      <c r="K4411" s="288"/>
    </row>
    <row r="4412" spans="4:11" x14ac:dyDescent="0.2">
      <c r="D4412" s="308"/>
      <c r="E4412" s="291"/>
      <c r="F4412" s="291"/>
      <c r="G4412" s="291"/>
      <c r="H4412" s="287"/>
      <c r="I4412" s="211"/>
      <c r="J4412" s="211"/>
      <c r="K4412" s="288"/>
    </row>
    <row r="4413" spans="4:11" x14ac:dyDescent="0.2">
      <c r="D4413" s="308"/>
      <c r="E4413" s="291"/>
      <c r="F4413" s="291"/>
      <c r="G4413" s="291"/>
      <c r="H4413" s="287"/>
      <c r="I4413" s="211"/>
      <c r="J4413" s="211"/>
      <c r="K4413" s="288"/>
    </row>
    <row r="4414" spans="4:11" x14ac:dyDescent="0.2">
      <c r="D4414" s="308"/>
      <c r="E4414" s="291"/>
      <c r="F4414" s="291"/>
      <c r="G4414" s="291"/>
      <c r="H4414" s="287"/>
      <c r="I4414" s="211"/>
      <c r="J4414" s="211"/>
      <c r="K4414" s="288"/>
    </row>
    <row r="4415" spans="4:11" x14ac:dyDescent="0.2">
      <c r="D4415" s="308"/>
      <c r="E4415" s="291"/>
      <c r="F4415" s="291"/>
      <c r="G4415" s="291"/>
      <c r="H4415" s="287"/>
      <c r="I4415" s="211"/>
      <c r="J4415" s="211"/>
      <c r="K4415" s="288"/>
    </row>
    <row r="4416" spans="4:11" x14ac:dyDescent="0.2">
      <c r="D4416" s="308"/>
      <c r="E4416" s="291"/>
      <c r="F4416" s="291"/>
      <c r="G4416" s="291"/>
      <c r="H4416" s="287"/>
      <c r="I4416" s="211"/>
      <c r="J4416" s="211"/>
      <c r="K4416" s="288"/>
    </row>
    <row r="4417" spans="4:11" x14ac:dyDescent="0.2">
      <c r="D4417" s="308"/>
      <c r="E4417" s="291"/>
      <c r="F4417" s="291"/>
      <c r="G4417" s="291"/>
      <c r="H4417" s="287"/>
      <c r="I4417" s="211"/>
      <c r="J4417" s="211"/>
      <c r="K4417" s="288"/>
    </row>
    <row r="4418" spans="4:11" x14ac:dyDescent="0.2">
      <c r="D4418" s="308"/>
      <c r="E4418" s="291"/>
      <c r="F4418" s="291"/>
      <c r="G4418" s="291"/>
      <c r="H4418" s="287"/>
      <c r="I4418" s="211"/>
      <c r="J4418" s="211"/>
      <c r="K4418" s="288"/>
    </row>
    <row r="4419" spans="4:11" x14ac:dyDescent="0.2">
      <c r="D4419" s="308"/>
      <c r="E4419" s="291"/>
      <c r="F4419" s="291"/>
      <c r="G4419" s="291"/>
      <c r="H4419" s="287"/>
      <c r="I4419" s="211"/>
      <c r="J4419" s="211"/>
      <c r="K4419" s="288"/>
    </row>
    <row r="4420" spans="4:11" x14ac:dyDescent="0.2">
      <c r="D4420" s="308"/>
      <c r="E4420" s="291"/>
      <c r="F4420" s="291"/>
      <c r="G4420" s="291"/>
      <c r="H4420" s="287"/>
      <c r="I4420" s="211"/>
      <c r="J4420" s="211"/>
      <c r="K4420" s="288"/>
    </row>
    <row r="4421" spans="4:11" x14ac:dyDescent="0.2">
      <c r="D4421" s="308"/>
      <c r="E4421" s="291"/>
      <c r="F4421" s="291"/>
      <c r="G4421" s="291"/>
      <c r="H4421" s="287"/>
      <c r="I4421" s="211"/>
      <c r="J4421" s="211"/>
      <c r="K4421" s="288"/>
    </row>
    <row r="4422" spans="4:11" x14ac:dyDescent="0.2">
      <c r="D4422" s="308"/>
      <c r="E4422" s="291"/>
      <c r="F4422" s="291"/>
      <c r="G4422" s="291"/>
      <c r="H4422" s="287"/>
      <c r="I4422" s="211"/>
      <c r="J4422" s="211"/>
      <c r="K4422" s="288"/>
    </row>
    <row r="4423" spans="4:11" x14ac:dyDescent="0.2">
      <c r="D4423" s="308"/>
      <c r="E4423" s="291"/>
      <c r="F4423" s="291"/>
      <c r="G4423" s="291"/>
      <c r="H4423" s="287"/>
      <c r="I4423" s="211"/>
      <c r="J4423" s="211"/>
      <c r="K4423" s="288"/>
    </row>
    <row r="4424" spans="4:11" x14ac:dyDescent="0.2">
      <c r="D4424" s="308"/>
      <c r="E4424" s="291"/>
      <c r="F4424" s="291"/>
      <c r="G4424" s="291"/>
      <c r="H4424" s="287"/>
      <c r="I4424" s="211"/>
      <c r="J4424" s="211"/>
      <c r="K4424" s="288"/>
    </row>
    <row r="4425" spans="4:11" x14ac:dyDescent="0.2">
      <c r="D4425" s="308"/>
      <c r="E4425" s="291"/>
      <c r="F4425" s="291"/>
      <c r="G4425" s="291"/>
      <c r="H4425" s="287"/>
      <c r="I4425" s="211"/>
      <c r="J4425" s="211"/>
      <c r="K4425" s="288"/>
    </row>
    <row r="4426" spans="4:11" x14ac:dyDescent="0.2">
      <c r="D4426" s="308"/>
      <c r="E4426" s="291"/>
      <c r="F4426" s="291"/>
      <c r="G4426" s="291"/>
      <c r="H4426" s="287"/>
      <c r="I4426" s="211"/>
      <c r="J4426" s="211"/>
      <c r="K4426" s="288"/>
    </row>
    <row r="4427" spans="4:11" x14ac:dyDescent="0.2">
      <c r="D4427" s="308"/>
      <c r="E4427" s="291"/>
      <c r="F4427" s="291"/>
      <c r="G4427" s="291"/>
      <c r="H4427" s="287"/>
      <c r="I4427" s="211"/>
      <c r="J4427" s="211"/>
      <c r="K4427" s="288"/>
    </row>
    <row r="4428" spans="4:11" x14ac:dyDescent="0.2">
      <c r="D4428" s="308"/>
      <c r="E4428" s="291"/>
      <c r="F4428" s="291"/>
      <c r="G4428" s="291"/>
      <c r="H4428" s="287"/>
      <c r="I4428" s="211"/>
      <c r="J4428" s="211"/>
      <c r="K4428" s="288"/>
    </row>
    <row r="4429" spans="4:11" x14ac:dyDescent="0.2">
      <c r="D4429" s="308"/>
      <c r="E4429" s="291"/>
      <c r="F4429" s="291"/>
      <c r="G4429" s="291"/>
      <c r="H4429" s="287"/>
      <c r="I4429" s="211"/>
      <c r="J4429" s="211"/>
      <c r="K4429" s="288"/>
    </row>
    <row r="4430" spans="4:11" x14ac:dyDescent="0.2">
      <c r="D4430" s="308"/>
      <c r="E4430" s="291"/>
      <c r="F4430" s="291"/>
      <c r="G4430" s="291"/>
      <c r="H4430" s="287"/>
      <c r="I4430" s="211"/>
      <c r="J4430" s="211"/>
      <c r="K4430" s="288"/>
    </row>
    <row r="4431" spans="4:11" x14ac:dyDescent="0.2">
      <c r="D4431" s="308"/>
      <c r="E4431" s="291"/>
      <c r="F4431" s="291"/>
      <c r="G4431" s="291"/>
      <c r="H4431" s="287"/>
      <c r="I4431" s="211"/>
      <c r="J4431" s="211"/>
      <c r="K4431" s="288"/>
    </row>
    <row r="4432" spans="4:11" x14ac:dyDescent="0.2">
      <c r="D4432" s="308"/>
      <c r="E4432" s="291"/>
      <c r="F4432" s="291"/>
      <c r="G4432" s="291"/>
      <c r="H4432" s="287"/>
      <c r="I4432" s="211"/>
      <c r="J4432" s="211"/>
      <c r="K4432" s="288"/>
    </row>
    <row r="4433" spans="4:11" x14ac:dyDescent="0.2">
      <c r="D4433" s="308"/>
      <c r="E4433" s="291"/>
      <c r="F4433" s="291"/>
      <c r="G4433" s="291"/>
      <c r="H4433" s="287"/>
      <c r="I4433" s="211"/>
      <c r="J4433" s="211"/>
      <c r="K4433" s="288"/>
    </row>
    <row r="4434" spans="4:11" x14ac:dyDescent="0.2">
      <c r="D4434" s="308"/>
      <c r="E4434" s="291"/>
      <c r="F4434" s="291"/>
      <c r="G4434" s="291"/>
      <c r="H4434" s="287"/>
      <c r="I4434" s="211"/>
      <c r="J4434" s="211"/>
      <c r="K4434" s="288"/>
    </row>
    <row r="4435" spans="4:11" x14ac:dyDescent="0.2">
      <c r="D4435" s="308"/>
      <c r="E4435" s="291"/>
      <c r="F4435" s="291"/>
      <c r="G4435" s="291"/>
      <c r="H4435" s="287"/>
      <c r="I4435" s="211"/>
      <c r="J4435" s="211"/>
      <c r="K4435" s="288"/>
    </row>
    <row r="4436" spans="4:11" x14ac:dyDescent="0.2">
      <c r="D4436" s="308"/>
      <c r="E4436" s="291"/>
      <c r="F4436" s="291"/>
      <c r="G4436" s="291"/>
      <c r="H4436" s="287"/>
      <c r="I4436" s="211"/>
      <c r="J4436" s="211"/>
      <c r="K4436" s="288"/>
    </row>
    <row r="4437" spans="4:11" x14ac:dyDescent="0.2">
      <c r="D4437" s="308"/>
      <c r="E4437" s="291"/>
      <c r="F4437" s="291"/>
      <c r="G4437" s="291"/>
      <c r="H4437" s="287"/>
      <c r="I4437" s="211"/>
      <c r="J4437" s="211"/>
      <c r="K4437" s="288"/>
    </row>
    <row r="4438" spans="4:11" x14ac:dyDescent="0.2">
      <c r="D4438" s="308"/>
      <c r="E4438" s="291"/>
      <c r="F4438" s="291"/>
      <c r="G4438" s="291"/>
      <c r="H4438" s="287"/>
      <c r="I4438" s="211"/>
      <c r="J4438" s="211"/>
      <c r="K4438" s="288"/>
    </row>
    <row r="4439" spans="4:11" x14ac:dyDescent="0.2">
      <c r="D4439" s="308"/>
      <c r="E4439" s="291"/>
      <c r="F4439" s="291"/>
      <c r="G4439" s="291"/>
      <c r="H4439" s="287"/>
      <c r="I4439" s="211"/>
      <c r="J4439" s="211"/>
      <c r="K4439" s="288"/>
    </row>
    <row r="4440" spans="4:11" x14ac:dyDescent="0.2">
      <c r="D4440" s="308"/>
      <c r="E4440" s="291"/>
      <c r="F4440" s="291"/>
      <c r="G4440" s="291"/>
      <c r="H4440" s="287"/>
      <c r="I4440" s="211"/>
      <c r="J4440" s="211"/>
      <c r="K4440" s="288"/>
    </row>
    <row r="4441" spans="4:11" x14ac:dyDescent="0.2">
      <c r="D4441" s="308"/>
      <c r="E4441" s="291"/>
      <c r="F4441" s="291"/>
      <c r="G4441" s="291"/>
      <c r="H4441" s="287"/>
      <c r="I4441" s="211"/>
      <c r="J4441" s="211"/>
      <c r="K4441" s="288"/>
    </row>
    <row r="4442" spans="4:11" x14ac:dyDescent="0.2">
      <c r="D4442" s="308"/>
      <c r="E4442" s="291"/>
      <c r="F4442" s="291"/>
      <c r="G4442" s="291"/>
      <c r="H4442" s="287"/>
      <c r="I4442" s="211"/>
      <c r="J4442" s="211"/>
      <c r="K4442" s="288"/>
    </row>
    <row r="4443" spans="4:11" x14ac:dyDescent="0.2">
      <c r="D4443" s="308"/>
      <c r="E4443" s="291"/>
      <c r="F4443" s="291"/>
      <c r="G4443" s="291"/>
      <c r="H4443" s="287"/>
      <c r="I4443" s="211"/>
      <c r="J4443" s="211"/>
      <c r="K4443" s="288"/>
    </row>
    <row r="4444" spans="4:11" x14ac:dyDescent="0.2">
      <c r="D4444" s="308"/>
      <c r="E4444" s="291"/>
      <c r="F4444" s="291"/>
      <c r="G4444" s="291"/>
      <c r="H4444" s="287"/>
      <c r="I4444" s="211"/>
      <c r="J4444" s="211"/>
      <c r="K4444" s="288"/>
    </row>
    <row r="4445" spans="4:11" x14ac:dyDescent="0.2">
      <c r="D4445" s="308"/>
      <c r="E4445" s="291"/>
      <c r="F4445" s="291"/>
      <c r="G4445" s="291"/>
      <c r="H4445" s="287"/>
      <c r="I4445" s="211"/>
      <c r="J4445" s="211"/>
      <c r="K4445" s="288"/>
    </row>
    <row r="4446" spans="4:11" x14ac:dyDescent="0.2">
      <c r="D4446" s="308"/>
      <c r="E4446" s="291"/>
      <c r="F4446" s="291"/>
      <c r="G4446" s="291"/>
      <c r="H4446" s="287"/>
      <c r="I4446" s="211"/>
      <c r="J4446" s="211"/>
      <c r="K4446" s="288"/>
    </row>
    <row r="4447" spans="4:11" x14ac:dyDescent="0.2">
      <c r="D4447" s="308"/>
      <c r="E4447" s="291"/>
      <c r="F4447" s="291"/>
      <c r="G4447" s="291"/>
      <c r="H4447" s="287"/>
      <c r="I4447" s="211"/>
      <c r="J4447" s="211"/>
      <c r="K4447" s="288"/>
    </row>
    <row r="4448" spans="4:11" x14ac:dyDescent="0.2">
      <c r="D4448" s="308"/>
      <c r="E4448" s="291"/>
      <c r="F4448" s="291"/>
      <c r="G4448" s="291"/>
      <c r="H4448" s="287"/>
      <c r="I4448" s="211"/>
      <c r="J4448" s="211"/>
      <c r="K4448" s="288"/>
    </row>
    <row r="4449" spans="4:11" x14ac:dyDescent="0.2">
      <c r="D4449" s="308"/>
      <c r="E4449" s="291"/>
      <c r="F4449" s="291"/>
      <c r="G4449" s="291"/>
      <c r="H4449" s="287"/>
      <c r="I4449" s="211"/>
      <c r="J4449" s="211"/>
      <c r="K4449" s="288"/>
    </row>
    <row r="4450" spans="4:11" x14ac:dyDescent="0.2">
      <c r="D4450" s="308"/>
      <c r="E4450" s="291"/>
      <c r="F4450" s="291"/>
      <c r="G4450" s="291"/>
      <c r="H4450" s="287"/>
      <c r="I4450" s="211"/>
      <c r="J4450" s="211"/>
      <c r="K4450" s="288"/>
    </row>
    <row r="4451" spans="4:11" x14ac:dyDescent="0.2">
      <c r="D4451" s="308"/>
      <c r="E4451" s="291"/>
      <c r="F4451" s="291"/>
      <c r="G4451" s="291"/>
      <c r="H4451" s="287"/>
      <c r="I4451" s="211"/>
      <c r="J4451" s="211"/>
      <c r="K4451" s="288"/>
    </row>
    <row r="4452" spans="4:11" x14ac:dyDescent="0.2">
      <c r="D4452" s="308"/>
      <c r="E4452" s="291"/>
      <c r="F4452" s="291"/>
      <c r="G4452" s="291"/>
      <c r="H4452" s="287"/>
      <c r="I4452" s="211"/>
      <c r="J4452" s="211"/>
      <c r="K4452" s="288"/>
    </row>
    <row r="4453" spans="4:11" x14ac:dyDescent="0.2">
      <c r="D4453" s="308"/>
      <c r="E4453" s="291"/>
      <c r="F4453" s="291"/>
      <c r="G4453" s="291"/>
      <c r="H4453" s="287"/>
      <c r="I4453" s="211"/>
      <c r="J4453" s="211"/>
      <c r="K4453" s="288"/>
    </row>
    <row r="4454" spans="4:11" x14ac:dyDescent="0.2">
      <c r="D4454" s="308"/>
      <c r="E4454" s="291"/>
      <c r="F4454" s="291"/>
      <c r="G4454" s="291"/>
      <c r="H4454" s="287"/>
      <c r="I4454" s="211"/>
      <c r="J4454" s="211"/>
      <c r="K4454" s="288"/>
    </row>
    <row r="4455" spans="4:11" x14ac:dyDescent="0.2">
      <c r="D4455" s="308"/>
      <c r="E4455" s="291"/>
      <c r="F4455" s="291"/>
      <c r="G4455" s="291"/>
      <c r="H4455" s="287"/>
      <c r="I4455" s="211"/>
      <c r="J4455" s="211"/>
      <c r="K4455" s="288"/>
    </row>
    <row r="4456" spans="4:11" x14ac:dyDescent="0.2">
      <c r="D4456" s="308"/>
      <c r="E4456" s="291"/>
      <c r="F4456" s="291"/>
      <c r="G4456" s="291"/>
      <c r="H4456" s="287"/>
      <c r="I4456" s="211"/>
      <c r="J4456" s="211"/>
      <c r="K4456" s="288"/>
    </row>
    <row r="4457" spans="4:11" x14ac:dyDescent="0.2">
      <c r="D4457" s="308"/>
      <c r="E4457" s="291"/>
      <c r="F4457" s="291"/>
      <c r="G4457" s="291"/>
      <c r="H4457" s="287"/>
      <c r="I4457" s="211"/>
      <c r="J4457" s="211"/>
      <c r="K4457" s="288"/>
    </row>
    <row r="4458" spans="4:11" x14ac:dyDescent="0.2">
      <c r="D4458" s="308"/>
      <c r="E4458" s="291"/>
      <c r="F4458" s="291"/>
      <c r="G4458" s="291"/>
      <c r="H4458" s="287"/>
      <c r="I4458" s="211"/>
      <c r="J4458" s="211"/>
      <c r="K4458" s="288"/>
    </row>
    <row r="4459" spans="4:11" x14ac:dyDescent="0.2">
      <c r="D4459" s="308"/>
      <c r="E4459" s="291"/>
      <c r="F4459" s="291"/>
      <c r="G4459" s="291"/>
      <c r="H4459" s="287"/>
      <c r="I4459" s="211"/>
      <c r="J4459" s="211"/>
      <c r="K4459" s="288"/>
    </row>
    <row r="4460" spans="4:11" x14ac:dyDescent="0.2">
      <c r="D4460" s="308"/>
      <c r="E4460" s="291"/>
      <c r="F4460" s="291"/>
      <c r="G4460" s="291"/>
      <c r="H4460" s="287"/>
      <c r="I4460" s="211"/>
      <c r="J4460" s="211"/>
      <c r="K4460" s="288"/>
    </row>
    <row r="4461" spans="4:11" x14ac:dyDescent="0.2">
      <c r="D4461" s="308"/>
      <c r="E4461" s="291"/>
      <c r="F4461" s="291"/>
      <c r="G4461" s="291"/>
      <c r="H4461" s="287"/>
      <c r="I4461" s="211"/>
      <c r="J4461" s="211"/>
      <c r="K4461" s="288"/>
    </row>
    <row r="4462" spans="4:11" x14ac:dyDescent="0.2">
      <c r="D4462" s="308"/>
      <c r="E4462" s="291"/>
      <c r="F4462" s="291"/>
      <c r="G4462" s="291"/>
      <c r="H4462" s="287"/>
      <c r="I4462" s="211"/>
      <c r="J4462" s="211"/>
      <c r="K4462" s="288"/>
    </row>
    <row r="4463" spans="4:11" x14ac:dyDescent="0.2">
      <c r="D4463" s="308"/>
      <c r="E4463" s="291"/>
      <c r="F4463" s="291"/>
      <c r="G4463" s="291"/>
      <c r="H4463" s="287"/>
      <c r="I4463" s="211"/>
      <c r="J4463" s="211"/>
      <c r="K4463" s="288"/>
    </row>
    <row r="4464" spans="4:11" x14ac:dyDescent="0.2">
      <c r="D4464" s="308"/>
      <c r="E4464" s="291"/>
      <c r="F4464" s="291"/>
      <c r="G4464" s="291"/>
      <c r="H4464" s="287"/>
      <c r="I4464" s="211"/>
      <c r="J4464" s="211"/>
      <c r="K4464" s="288"/>
    </row>
    <row r="4465" spans="4:11" x14ac:dyDescent="0.2">
      <c r="D4465" s="308"/>
      <c r="E4465" s="291"/>
      <c r="F4465" s="291"/>
      <c r="G4465" s="291"/>
      <c r="H4465" s="287"/>
      <c r="I4465" s="211"/>
      <c r="J4465" s="211"/>
      <c r="K4465" s="288"/>
    </row>
    <row r="4466" spans="4:11" x14ac:dyDescent="0.2">
      <c r="D4466" s="308"/>
      <c r="E4466" s="291"/>
      <c r="F4466" s="291"/>
      <c r="G4466" s="291"/>
      <c r="H4466" s="287"/>
      <c r="I4466" s="211"/>
      <c r="J4466" s="211"/>
      <c r="K4466" s="288"/>
    </row>
    <row r="4467" spans="4:11" x14ac:dyDescent="0.2">
      <c r="D4467" s="308"/>
      <c r="E4467" s="291"/>
      <c r="F4467" s="291"/>
      <c r="G4467" s="291"/>
      <c r="H4467" s="287"/>
      <c r="I4467" s="211"/>
      <c r="J4467" s="211"/>
      <c r="K4467" s="288"/>
    </row>
    <row r="4468" spans="4:11" x14ac:dyDescent="0.2">
      <c r="D4468" s="308"/>
      <c r="E4468" s="291"/>
      <c r="F4468" s="291"/>
      <c r="G4468" s="291"/>
      <c r="H4468" s="287"/>
      <c r="I4468" s="211"/>
      <c r="J4468" s="211"/>
      <c r="K4468" s="288"/>
    </row>
    <row r="4469" spans="4:11" x14ac:dyDescent="0.2">
      <c r="D4469" s="308"/>
      <c r="E4469" s="291"/>
      <c r="F4469" s="291"/>
      <c r="G4469" s="291"/>
      <c r="H4469" s="287"/>
      <c r="I4469" s="211"/>
      <c r="J4469" s="211"/>
      <c r="K4469" s="288"/>
    </row>
    <row r="4470" spans="4:11" x14ac:dyDescent="0.2">
      <c r="D4470" s="308"/>
      <c r="E4470" s="291"/>
      <c r="F4470" s="291"/>
      <c r="G4470" s="291"/>
      <c r="H4470" s="287"/>
      <c r="I4470" s="211"/>
      <c r="J4470" s="211"/>
      <c r="K4470" s="288"/>
    </row>
    <row r="4471" spans="4:11" x14ac:dyDescent="0.2">
      <c r="D4471" s="308"/>
      <c r="E4471" s="291"/>
      <c r="F4471" s="291"/>
      <c r="G4471" s="291"/>
      <c r="H4471" s="287"/>
      <c r="I4471" s="211"/>
      <c r="J4471" s="211"/>
      <c r="K4471" s="288"/>
    </row>
    <row r="4472" spans="4:11" x14ac:dyDescent="0.2">
      <c r="D4472" s="308"/>
      <c r="E4472" s="291"/>
      <c r="F4472" s="291"/>
      <c r="G4472" s="291"/>
      <c r="H4472" s="287"/>
      <c r="I4472" s="211"/>
      <c r="J4472" s="211"/>
      <c r="K4472" s="288"/>
    </row>
    <row r="4473" spans="4:11" x14ac:dyDescent="0.2">
      <c r="D4473" s="308"/>
      <c r="E4473" s="291"/>
      <c r="F4473" s="291"/>
      <c r="G4473" s="291"/>
      <c r="H4473" s="287"/>
      <c r="I4473" s="211"/>
      <c r="J4473" s="211"/>
      <c r="K4473" s="288"/>
    </row>
    <row r="4474" spans="4:11" x14ac:dyDescent="0.2">
      <c r="D4474" s="308"/>
      <c r="E4474" s="291"/>
      <c r="F4474" s="291"/>
      <c r="G4474" s="291"/>
      <c r="H4474" s="287"/>
      <c r="I4474" s="211"/>
      <c r="J4474" s="211"/>
      <c r="K4474" s="288"/>
    </row>
    <row r="4475" spans="4:11" x14ac:dyDescent="0.2">
      <c r="D4475" s="308"/>
      <c r="E4475" s="291"/>
      <c r="F4475" s="291"/>
      <c r="G4475" s="291"/>
      <c r="H4475" s="287"/>
      <c r="I4475" s="211"/>
      <c r="J4475" s="211"/>
      <c r="K4475" s="288"/>
    </row>
    <row r="4476" spans="4:11" x14ac:dyDescent="0.2">
      <c r="D4476" s="308"/>
      <c r="E4476" s="291"/>
      <c r="F4476" s="291"/>
      <c r="G4476" s="291"/>
      <c r="H4476" s="287"/>
      <c r="I4476" s="211"/>
      <c r="J4476" s="211"/>
      <c r="K4476" s="288"/>
    </row>
    <row r="4477" spans="4:11" x14ac:dyDescent="0.2">
      <c r="D4477" s="308"/>
      <c r="E4477" s="291"/>
      <c r="F4477" s="291"/>
      <c r="G4477" s="291"/>
      <c r="H4477" s="287"/>
      <c r="I4477" s="211"/>
      <c r="J4477" s="211"/>
      <c r="K4477" s="288"/>
    </row>
    <row r="4478" spans="4:11" x14ac:dyDescent="0.2">
      <c r="D4478" s="308"/>
      <c r="E4478" s="291"/>
      <c r="F4478" s="291"/>
      <c r="G4478" s="291"/>
      <c r="H4478" s="287"/>
      <c r="I4478" s="211"/>
      <c r="J4478" s="211"/>
      <c r="K4478" s="288"/>
    </row>
    <row r="4479" spans="4:11" x14ac:dyDescent="0.2">
      <c r="D4479" s="308"/>
      <c r="E4479" s="291"/>
      <c r="F4479" s="291"/>
      <c r="G4479" s="291"/>
      <c r="H4479" s="287"/>
      <c r="I4479" s="211"/>
      <c r="J4479" s="211"/>
      <c r="K4479" s="288"/>
    </row>
    <row r="4480" spans="4:11" x14ac:dyDescent="0.2">
      <c r="D4480" s="308"/>
      <c r="E4480" s="291"/>
      <c r="F4480" s="291"/>
      <c r="G4480" s="291"/>
      <c r="H4480" s="287"/>
      <c r="I4480" s="211"/>
      <c r="J4480" s="211"/>
      <c r="K4480" s="288"/>
    </row>
    <row r="4481" spans="4:11" x14ac:dyDescent="0.2">
      <c r="D4481" s="308"/>
      <c r="E4481" s="291"/>
      <c r="F4481" s="291"/>
      <c r="G4481" s="291"/>
      <c r="H4481" s="287"/>
      <c r="I4481" s="211"/>
      <c r="J4481" s="211"/>
      <c r="K4481" s="288"/>
    </row>
    <row r="4482" spans="4:11" x14ac:dyDescent="0.2">
      <c r="D4482" s="308"/>
      <c r="E4482" s="291"/>
      <c r="F4482" s="291"/>
      <c r="G4482" s="291"/>
      <c r="H4482" s="287"/>
      <c r="I4482" s="211"/>
      <c r="J4482" s="211"/>
      <c r="K4482" s="288"/>
    </row>
    <row r="4483" spans="4:11" x14ac:dyDescent="0.2">
      <c r="D4483" s="308"/>
      <c r="E4483" s="291"/>
      <c r="F4483" s="291"/>
      <c r="G4483" s="291"/>
      <c r="H4483" s="287"/>
      <c r="I4483" s="211"/>
      <c r="J4483" s="211"/>
      <c r="K4483" s="288"/>
    </row>
    <row r="4484" spans="4:11" x14ac:dyDescent="0.2">
      <c r="D4484" s="308"/>
      <c r="E4484" s="291"/>
      <c r="F4484" s="291"/>
      <c r="G4484" s="291"/>
      <c r="H4484" s="287"/>
      <c r="I4484" s="211"/>
      <c r="J4484" s="211"/>
      <c r="K4484" s="288"/>
    </row>
    <row r="4485" spans="4:11" x14ac:dyDescent="0.2">
      <c r="D4485" s="308"/>
      <c r="E4485" s="291"/>
      <c r="F4485" s="291"/>
      <c r="G4485" s="291"/>
      <c r="H4485" s="287"/>
      <c r="I4485" s="211"/>
      <c r="J4485" s="211"/>
      <c r="K4485" s="288"/>
    </row>
    <row r="4486" spans="4:11" x14ac:dyDescent="0.2">
      <c r="D4486" s="308"/>
      <c r="E4486" s="291"/>
      <c r="F4486" s="291"/>
      <c r="G4486" s="291"/>
      <c r="H4486" s="287"/>
      <c r="I4486" s="211"/>
      <c r="J4486" s="211"/>
      <c r="K4486" s="288"/>
    </row>
    <row r="4487" spans="4:11" x14ac:dyDescent="0.2">
      <c r="D4487" s="308"/>
      <c r="E4487" s="291"/>
      <c r="F4487" s="291"/>
      <c r="G4487" s="291"/>
      <c r="H4487" s="287"/>
      <c r="I4487" s="211"/>
      <c r="J4487" s="211"/>
      <c r="K4487" s="288"/>
    </row>
    <row r="4488" spans="4:11" x14ac:dyDescent="0.2">
      <c r="D4488" s="308"/>
      <c r="E4488" s="291"/>
      <c r="F4488" s="291"/>
      <c r="G4488" s="291"/>
      <c r="H4488" s="287"/>
      <c r="I4488" s="211"/>
      <c r="J4488" s="211"/>
      <c r="K4488" s="288"/>
    </row>
    <row r="4489" spans="4:11" x14ac:dyDescent="0.2">
      <c r="D4489" s="308"/>
      <c r="E4489" s="291"/>
      <c r="F4489" s="291"/>
      <c r="G4489" s="291"/>
      <c r="H4489" s="287"/>
      <c r="I4489" s="211"/>
      <c r="J4489" s="211"/>
      <c r="K4489" s="288"/>
    </row>
    <row r="4490" spans="4:11" x14ac:dyDescent="0.2">
      <c r="D4490" s="308"/>
      <c r="E4490" s="291"/>
      <c r="F4490" s="291"/>
      <c r="G4490" s="291"/>
      <c r="H4490" s="287"/>
      <c r="I4490" s="211"/>
      <c r="J4490" s="211"/>
      <c r="K4490" s="288"/>
    </row>
    <row r="4491" spans="4:11" x14ac:dyDescent="0.2">
      <c r="D4491" s="308"/>
      <c r="E4491" s="291"/>
      <c r="F4491" s="291"/>
      <c r="G4491" s="291"/>
      <c r="H4491" s="287"/>
      <c r="I4491" s="211"/>
      <c r="J4491" s="211"/>
      <c r="K4491" s="288"/>
    </row>
    <row r="4492" spans="4:11" x14ac:dyDescent="0.2">
      <c r="D4492" s="308"/>
      <c r="E4492" s="291"/>
      <c r="F4492" s="291"/>
      <c r="G4492" s="291"/>
      <c r="H4492" s="287"/>
      <c r="I4492" s="211"/>
      <c r="J4492" s="211"/>
      <c r="K4492" s="288"/>
    </row>
    <row r="4493" spans="4:11" x14ac:dyDescent="0.2">
      <c r="D4493" s="308"/>
      <c r="E4493" s="291"/>
      <c r="F4493" s="291"/>
      <c r="G4493" s="291"/>
      <c r="H4493" s="287"/>
      <c r="I4493" s="211"/>
      <c r="J4493" s="211"/>
      <c r="K4493" s="288"/>
    </row>
    <row r="4494" spans="4:11" x14ac:dyDescent="0.2">
      <c r="D4494" s="308"/>
      <c r="E4494" s="291"/>
      <c r="F4494" s="291"/>
      <c r="G4494" s="291"/>
      <c r="H4494" s="287"/>
      <c r="I4494" s="211"/>
      <c r="J4494" s="211"/>
      <c r="K4494" s="288"/>
    </row>
    <row r="4495" spans="4:11" x14ac:dyDescent="0.2">
      <c r="D4495" s="308"/>
      <c r="E4495" s="291"/>
      <c r="F4495" s="291"/>
      <c r="G4495" s="291"/>
      <c r="H4495" s="287"/>
      <c r="I4495" s="211"/>
      <c r="J4495" s="211"/>
      <c r="K4495" s="288"/>
    </row>
    <row r="4496" spans="4:11" x14ac:dyDescent="0.2">
      <c r="D4496" s="308"/>
      <c r="E4496" s="291"/>
      <c r="F4496" s="291"/>
      <c r="G4496" s="291"/>
      <c r="H4496" s="287"/>
      <c r="I4496" s="211"/>
      <c r="J4496" s="211"/>
      <c r="K4496" s="288"/>
    </row>
    <row r="4497" spans="4:11" x14ac:dyDescent="0.2">
      <c r="D4497" s="308"/>
      <c r="E4497" s="291"/>
      <c r="F4497" s="291"/>
      <c r="G4497" s="291"/>
      <c r="H4497" s="287"/>
      <c r="I4497" s="211"/>
      <c r="J4497" s="211"/>
      <c r="K4497" s="288"/>
    </row>
    <row r="4498" spans="4:11" x14ac:dyDescent="0.2">
      <c r="D4498" s="308"/>
      <c r="E4498" s="291"/>
      <c r="F4498" s="291"/>
      <c r="G4498" s="291"/>
      <c r="H4498" s="287"/>
      <c r="I4498" s="211"/>
      <c r="J4498" s="211"/>
      <c r="K4498" s="288"/>
    </row>
    <row r="4499" spans="4:11" x14ac:dyDescent="0.2">
      <c r="D4499" s="308"/>
      <c r="E4499" s="291"/>
      <c r="F4499" s="291"/>
      <c r="G4499" s="291"/>
      <c r="H4499" s="287"/>
      <c r="I4499" s="211"/>
      <c r="J4499" s="211"/>
      <c r="K4499" s="288"/>
    </row>
    <row r="4500" spans="4:11" x14ac:dyDescent="0.2">
      <c r="D4500" s="308"/>
      <c r="E4500" s="291"/>
      <c r="F4500" s="291"/>
      <c r="G4500" s="291"/>
      <c r="H4500" s="287"/>
      <c r="I4500" s="211"/>
      <c r="J4500" s="211"/>
      <c r="K4500" s="288"/>
    </row>
    <row r="4501" spans="4:11" x14ac:dyDescent="0.2">
      <c r="D4501" s="308"/>
      <c r="E4501" s="291"/>
      <c r="F4501" s="291"/>
      <c r="G4501" s="291"/>
      <c r="H4501" s="287"/>
      <c r="I4501" s="211"/>
      <c r="J4501" s="211"/>
      <c r="K4501" s="288"/>
    </row>
    <row r="4502" spans="4:11" x14ac:dyDescent="0.2">
      <c r="D4502" s="308"/>
      <c r="E4502" s="291"/>
      <c r="F4502" s="291"/>
      <c r="G4502" s="291"/>
      <c r="H4502" s="287"/>
      <c r="I4502" s="211"/>
      <c r="J4502" s="211"/>
      <c r="K4502" s="288"/>
    </row>
    <row r="4503" spans="4:11" x14ac:dyDescent="0.2">
      <c r="D4503" s="308"/>
      <c r="E4503" s="291"/>
      <c r="F4503" s="291"/>
      <c r="G4503" s="291"/>
      <c r="H4503" s="287"/>
      <c r="I4503" s="211"/>
      <c r="J4503" s="211"/>
      <c r="K4503" s="288"/>
    </row>
    <row r="4504" spans="4:11" x14ac:dyDescent="0.2">
      <c r="D4504" s="308"/>
      <c r="E4504" s="291"/>
      <c r="F4504" s="291"/>
      <c r="G4504" s="291"/>
      <c r="H4504" s="287"/>
      <c r="I4504" s="211"/>
      <c r="J4504" s="211"/>
      <c r="K4504" s="288"/>
    </row>
    <row r="4505" spans="4:11" x14ac:dyDescent="0.2">
      <c r="D4505" s="308"/>
      <c r="E4505" s="291"/>
      <c r="F4505" s="291"/>
      <c r="G4505" s="291"/>
      <c r="H4505" s="287"/>
      <c r="I4505" s="211"/>
      <c r="J4505" s="211"/>
      <c r="K4505" s="288"/>
    </row>
    <row r="4506" spans="4:11" x14ac:dyDescent="0.2">
      <c r="D4506" s="308"/>
      <c r="E4506" s="291"/>
      <c r="F4506" s="291"/>
      <c r="G4506" s="291"/>
      <c r="H4506" s="287"/>
      <c r="I4506" s="211"/>
      <c r="J4506" s="211"/>
      <c r="K4506" s="288"/>
    </row>
    <row r="4507" spans="4:11" x14ac:dyDescent="0.2">
      <c r="D4507" s="308"/>
      <c r="E4507" s="291"/>
      <c r="F4507" s="291"/>
      <c r="G4507" s="291"/>
      <c r="H4507" s="287"/>
      <c r="I4507" s="211"/>
      <c r="J4507" s="211"/>
      <c r="K4507" s="288"/>
    </row>
    <row r="4508" spans="4:11" x14ac:dyDescent="0.2">
      <c r="D4508" s="308"/>
      <c r="E4508" s="291"/>
      <c r="F4508" s="291"/>
      <c r="G4508" s="291"/>
      <c r="H4508" s="287"/>
      <c r="I4508" s="211"/>
      <c r="J4508" s="211"/>
      <c r="K4508" s="288"/>
    </row>
    <row r="4509" spans="4:11" x14ac:dyDescent="0.2">
      <c r="D4509" s="308"/>
      <c r="E4509" s="291"/>
      <c r="F4509" s="291"/>
      <c r="G4509" s="291"/>
      <c r="H4509" s="287"/>
      <c r="I4509" s="211"/>
      <c r="J4509" s="211"/>
      <c r="K4509" s="288"/>
    </row>
    <row r="4510" spans="4:11" x14ac:dyDescent="0.2">
      <c r="D4510" s="308"/>
      <c r="E4510" s="291"/>
      <c r="F4510" s="291"/>
      <c r="G4510" s="291"/>
      <c r="H4510" s="287"/>
      <c r="I4510" s="211"/>
      <c r="J4510" s="211"/>
      <c r="K4510" s="288"/>
    </row>
    <row r="4511" spans="4:11" x14ac:dyDescent="0.2">
      <c r="D4511" s="308"/>
      <c r="E4511" s="291"/>
      <c r="F4511" s="291"/>
      <c r="G4511" s="291"/>
      <c r="H4511" s="287"/>
      <c r="I4511" s="211"/>
      <c r="J4511" s="211"/>
      <c r="K4511" s="288"/>
    </row>
    <row r="4512" spans="4:11" x14ac:dyDescent="0.2">
      <c r="D4512" s="308"/>
      <c r="E4512" s="291"/>
      <c r="F4512" s="291"/>
      <c r="G4512" s="291"/>
      <c r="H4512" s="287"/>
      <c r="I4512" s="211"/>
      <c r="J4512" s="211"/>
      <c r="K4512" s="288"/>
    </row>
    <row r="4513" spans="4:11" x14ac:dyDescent="0.2">
      <c r="D4513" s="308"/>
      <c r="E4513" s="291"/>
      <c r="F4513" s="291"/>
      <c r="G4513" s="291"/>
      <c r="H4513" s="287"/>
      <c r="I4513" s="211"/>
      <c r="J4513" s="211"/>
      <c r="K4513" s="288"/>
    </row>
    <row r="4514" spans="4:11" x14ac:dyDescent="0.2">
      <c r="D4514" s="308"/>
      <c r="E4514" s="291"/>
      <c r="F4514" s="291"/>
      <c r="G4514" s="291"/>
      <c r="H4514" s="287"/>
      <c r="I4514" s="211"/>
      <c r="J4514" s="211"/>
      <c r="K4514" s="288"/>
    </row>
    <row r="4515" spans="4:11" x14ac:dyDescent="0.2">
      <c r="D4515" s="308"/>
      <c r="E4515" s="291"/>
      <c r="F4515" s="291"/>
      <c r="G4515" s="291"/>
      <c r="H4515" s="287"/>
      <c r="I4515" s="211"/>
      <c r="J4515" s="211"/>
      <c r="K4515" s="288"/>
    </row>
    <row r="4516" spans="4:11" x14ac:dyDescent="0.2">
      <c r="D4516" s="308"/>
      <c r="E4516" s="291"/>
      <c r="F4516" s="291"/>
      <c r="G4516" s="291"/>
      <c r="H4516" s="287"/>
      <c r="I4516" s="211"/>
      <c r="J4516" s="211"/>
      <c r="K4516" s="288"/>
    </row>
    <row r="4517" spans="4:11" x14ac:dyDescent="0.2">
      <c r="D4517" s="308"/>
      <c r="E4517" s="291"/>
      <c r="F4517" s="291"/>
      <c r="G4517" s="291"/>
      <c r="H4517" s="287"/>
      <c r="I4517" s="211"/>
      <c r="J4517" s="211"/>
      <c r="K4517" s="288"/>
    </row>
    <row r="4518" spans="4:11" x14ac:dyDescent="0.2">
      <c r="D4518" s="308"/>
      <c r="E4518" s="291"/>
      <c r="F4518" s="291"/>
      <c r="G4518" s="291"/>
      <c r="H4518" s="287"/>
      <c r="I4518" s="211"/>
      <c r="J4518" s="211"/>
      <c r="K4518" s="288"/>
    </row>
    <row r="4519" spans="4:11" x14ac:dyDescent="0.2">
      <c r="D4519" s="308"/>
      <c r="E4519" s="291"/>
      <c r="F4519" s="291"/>
      <c r="G4519" s="291"/>
      <c r="H4519" s="287"/>
      <c r="I4519" s="211"/>
      <c r="J4519" s="211"/>
      <c r="K4519" s="288"/>
    </row>
    <row r="4520" spans="4:11" x14ac:dyDescent="0.2">
      <c r="D4520" s="308"/>
      <c r="E4520" s="291"/>
      <c r="F4520" s="291"/>
      <c r="G4520" s="291"/>
      <c r="H4520" s="287"/>
      <c r="I4520" s="211"/>
      <c r="J4520" s="211"/>
      <c r="K4520" s="288"/>
    </row>
    <row r="4521" spans="4:11" x14ac:dyDescent="0.2">
      <c r="D4521" s="308"/>
      <c r="E4521" s="291"/>
      <c r="F4521" s="291"/>
      <c r="G4521" s="291"/>
      <c r="H4521" s="287"/>
      <c r="I4521" s="211"/>
      <c r="J4521" s="211"/>
      <c r="K4521" s="288"/>
    </row>
    <row r="4522" spans="4:11" x14ac:dyDescent="0.2">
      <c r="D4522" s="308"/>
      <c r="E4522" s="291"/>
      <c r="F4522" s="291"/>
      <c r="G4522" s="291"/>
      <c r="H4522" s="287"/>
      <c r="I4522" s="211"/>
      <c r="J4522" s="211"/>
      <c r="K4522" s="288"/>
    </row>
    <row r="4523" spans="4:11" x14ac:dyDescent="0.2">
      <c r="D4523" s="308"/>
      <c r="E4523" s="291"/>
      <c r="F4523" s="291"/>
      <c r="G4523" s="291"/>
      <c r="H4523" s="287"/>
      <c r="I4523" s="211"/>
      <c r="J4523" s="211"/>
      <c r="K4523" s="288"/>
    </row>
    <row r="4524" spans="4:11" x14ac:dyDescent="0.2">
      <c r="D4524" s="308"/>
      <c r="E4524" s="291"/>
      <c r="F4524" s="291"/>
      <c r="G4524" s="291"/>
      <c r="H4524" s="287"/>
      <c r="I4524" s="211"/>
      <c r="J4524" s="211"/>
      <c r="K4524" s="288"/>
    </row>
    <row r="4525" spans="4:11" x14ac:dyDescent="0.2">
      <c r="D4525" s="308"/>
      <c r="E4525" s="291"/>
      <c r="F4525" s="291"/>
      <c r="G4525" s="291"/>
      <c r="H4525" s="287"/>
      <c r="I4525" s="211"/>
      <c r="J4525" s="211"/>
      <c r="K4525" s="288"/>
    </row>
    <row r="4526" spans="4:11" x14ac:dyDescent="0.2">
      <c r="D4526" s="308"/>
      <c r="E4526" s="291"/>
      <c r="F4526" s="291"/>
      <c r="G4526" s="291"/>
      <c r="H4526" s="287"/>
      <c r="I4526" s="211"/>
      <c r="J4526" s="211"/>
      <c r="K4526" s="288"/>
    </row>
    <row r="4527" spans="4:11" x14ac:dyDescent="0.2">
      <c r="D4527" s="308"/>
      <c r="E4527" s="291"/>
      <c r="F4527" s="291"/>
      <c r="G4527" s="291"/>
      <c r="H4527" s="287"/>
      <c r="I4527" s="211"/>
      <c r="J4527" s="211"/>
      <c r="K4527" s="288"/>
    </row>
    <row r="4528" spans="4:11" x14ac:dyDescent="0.2">
      <c r="D4528" s="308"/>
      <c r="E4528" s="291"/>
      <c r="F4528" s="291"/>
      <c r="G4528" s="291"/>
      <c r="H4528" s="287"/>
      <c r="I4528" s="211"/>
      <c r="J4528" s="211"/>
      <c r="K4528" s="288"/>
    </row>
    <row r="4529" spans="4:11" x14ac:dyDescent="0.2">
      <c r="D4529" s="308"/>
      <c r="E4529" s="291"/>
      <c r="F4529" s="291"/>
      <c r="G4529" s="291"/>
      <c r="H4529" s="287"/>
      <c r="I4529" s="211"/>
      <c r="J4529" s="211"/>
      <c r="K4529" s="288"/>
    </row>
    <row r="4530" spans="4:11" x14ac:dyDescent="0.2">
      <c r="D4530" s="308"/>
      <c r="E4530" s="291"/>
      <c r="F4530" s="291"/>
      <c r="G4530" s="291"/>
      <c r="H4530" s="287"/>
      <c r="I4530" s="211"/>
      <c r="J4530" s="211"/>
      <c r="K4530" s="288"/>
    </row>
    <row r="4531" spans="4:11" x14ac:dyDescent="0.2">
      <c r="D4531" s="308"/>
      <c r="E4531" s="291"/>
      <c r="F4531" s="291"/>
      <c r="G4531" s="291"/>
      <c r="H4531" s="287"/>
      <c r="I4531" s="211"/>
      <c r="J4531" s="211"/>
      <c r="K4531" s="288"/>
    </row>
    <row r="4532" spans="4:11" x14ac:dyDescent="0.2">
      <c r="D4532" s="308"/>
      <c r="E4532" s="291"/>
      <c r="F4532" s="291"/>
      <c r="G4532" s="291"/>
      <c r="H4532" s="287"/>
      <c r="I4532" s="211"/>
      <c r="J4532" s="211"/>
      <c r="K4532" s="288"/>
    </row>
    <row r="4533" spans="4:11" x14ac:dyDescent="0.2">
      <c r="D4533" s="308"/>
      <c r="E4533" s="291"/>
      <c r="F4533" s="291"/>
      <c r="G4533" s="291"/>
      <c r="H4533" s="287"/>
      <c r="I4533" s="211"/>
      <c r="J4533" s="211"/>
      <c r="K4533" s="288"/>
    </row>
    <row r="4534" spans="4:11" x14ac:dyDescent="0.2">
      <c r="D4534" s="308"/>
      <c r="E4534" s="291"/>
      <c r="F4534" s="291"/>
      <c r="G4534" s="291"/>
      <c r="H4534" s="287"/>
      <c r="I4534" s="211"/>
      <c r="J4534" s="211"/>
      <c r="K4534" s="288"/>
    </row>
    <row r="4535" spans="4:11" x14ac:dyDescent="0.2">
      <c r="D4535" s="308"/>
      <c r="E4535" s="291"/>
      <c r="F4535" s="291"/>
      <c r="G4535" s="291"/>
      <c r="H4535" s="287"/>
      <c r="I4535" s="211"/>
      <c r="J4535" s="211"/>
      <c r="K4535" s="288"/>
    </row>
    <row r="4536" spans="4:11" x14ac:dyDescent="0.2">
      <c r="D4536" s="308"/>
      <c r="E4536" s="291"/>
      <c r="F4536" s="291"/>
      <c r="G4536" s="291"/>
      <c r="H4536" s="287"/>
      <c r="I4536" s="211"/>
      <c r="J4536" s="211"/>
      <c r="K4536" s="288"/>
    </row>
    <row r="4537" spans="4:11" x14ac:dyDescent="0.2">
      <c r="D4537" s="308"/>
      <c r="E4537" s="291"/>
      <c r="F4537" s="291"/>
      <c r="G4537" s="291"/>
      <c r="H4537" s="287"/>
      <c r="I4537" s="211"/>
      <c r="J4537" s="211"/>
      <c r="K4537" s="288"/>
    </row>
    <row r="4538" spans="4:11" x14ac:dyDescent="0.2">
      <c r="D4538" s="308"/>
      <c r="E4538" s="291"/>
      <c r="F4538" s="291"/>
      <c r="G4538" s="291"/>
      <c r="H4538" s="287"/>
      <c r="I4538" s="211"/>
      <c r="J4538" s="211"/>
      <c r="K4538" s="288"/>
    </row>
    <row r="4539" spans="4:11" x14ac:dyDescent="0.2">
      <c r="D4539" s="308"/>
      <c r="E4539" s="291"/>
      <c r="F4539" s="291"/>
      <c r="G4539" s="291"/>
      <c r="H4539" s="287"/>
      <c r="I4539" s="211"/>
      <c r="J4539" s="211"/>
      <c r="K4539" s="288"/>
    </row>
    <row r="4540" spans="4:11" x14ac:dyDescent="0.2">
      <c r="D4540" s="308"/>
      <c r="E4540" s="291"/>
      <c r="F4540" s="291"/>
      <c r="G4540" s="291"/>
      <c r="H4540" s="287"/>
      <c r="I4540" s="211"/>
      <c r="J4540" s="211"/>
      <c r="K4540" s="288"/>
    </row>
    <row r="4541" spans="4:11" x14ac:dyDescent="0.2">
      <c r="D4541" s="308"/>
      <c r="E4541" s="291"/>
      <c r="F4541" s="291"/>
      <c r="G4541" s="291"/>
      <c r="H4541" s="287"/>
      <c r="I4541" s="211"/>
      <c r="J4541" s="211"/>
      <c r="K4541" s="288"/>
    </row>
    <row r="4542" spans="4:11" x14ac:dyDescent="0.2">
      <c r="D4542" s="308"/>
      <c r="E4542" s="291"/>
      <c r="F4542" s="291"/>
      <c r="G4542" s="291"/>
      <c r="H4542" s="287"/>
      <c r="I4542" s="211"/>
      <c r="J4542" s="211"/>
      <c r="K4542" s="288"/>
    </row>
    <row r="4543" spans="4:11" x14ac:dyDescent="0.2">
      <c r="D4543" s="308"/>
      <c r="E4543" s="291"/>
      <c r="F4543" s="291"/>
      <c r="G4543" s="291"/>
      <c r="H4543" s="287"/>
      <c r="I4543" s="211"/>
      <c r="J4543" s="211"/>
      <c r="K4543" s="288"/>
    </row>
    <row r="4544" spans="4:11" x14ac:dyDescent="0.2">
      <c r="D4544" s="308"/>
      <c r="E4544" s="291"/>
      <c r="F4544" s="291"/>
      <c r="G4544" s="291"/>
      <c r="H4544" s="287"/>
      <c r="I4544" s="211"/>
      <c r="J4544" s="211"/>
      <c r="K4544" s="288"/>
    </row>
    <row r="4545" spans="4:11" x14ac:dyDescent="0.2">
      <c r="D4545" s="308"/>
      <c r="E4545" s="291"/>
      <c r="F4545" s="291"/>
      <c r="G4545" s="291"/>
      <c r="H4545" s="287"/>
      <c r="I4545" s="211"/>
      <c r="J4545" s="211"/>
      <c r="K4545" s="288"/>
    </row>
    <row r="4546" spans="4:11" x14ac:dyDescent="0.2">
      <c r="D4546" s="308"/>
      <c r="E4546" s="291"/>
      <c r="F4546" s="291"/>
      <c r="G4546" s="291"/>
      <c r="H4546" s="287"/>
      <c r="I4546" s="211"/>
      <c r="J4546" s="211"/>
      <c r="K4546" s="288"/>
    </row>
    <row r="4547" spans="4:11" x14ac:dyDescent="0.2">
      <c r="D4547" s="308"/>
      <c r="E4547" s="291"/>
      <c r="F4547" s="291"/>
      <c r="G4547" s="291"/>
      <c r="H4547" s="287"/>
      <c r="I4547" s="211"/>
      <c r="J4547" s="211"/>
      <c r="K4547" s="288"/>
    </row>
    <row r="4548" spans="4:11" x14ac:dyDescent="0.2">
      <c r="D4548" s="308"/>
      <c r="E4548" s="291"/>
      <c r="F4548" s="291"/>
      <c r="G4548" s="291"/>
      <c r="H4548" s="287"/>
      <c r="I4548" s="211"/>
      <c r="J4548" s="211"/>
      <c r="K4548" s="288"/>
    </row>
    <row r="4549" spans="4:11" x14ac:dyDescent="0.2">
      <c r="D4549" s="308"/>
      <c r="E4549" s="291"/>
      <c r="F4549" s="291"/>
      <c r="G4549" s="291"/>
      <c r="H4549" s="287"/>
      <c r="I4549" s="211"/>
      <c r="J4549" s="211"/>
      <c r="K4549" s="288"/>
    </row>
    <row r="4550" spans="4:11" x14ac:dyDescent="0.2">
      <c r="D4550" s="308"/>
      <c r="E4550" s="291"/>
      <c r="F4550" s="291"/>
      <c r="G4550" s="291"/>
      <c r="H4550" s="287"/>
      <c r="I4550" s="211"/>
      <c r="J4550" s="211"/>
      <c r="K4550" s="288"/>
    </row>
    <row r="4551" spans="4:11" x14ac:dyDescent="0.2">
      <c r="D4551" s="308"/>
      <c r="E4551" s="291"/>
      <c r="F4551" s="291"/>
      <c r="G4551" s="291"/>
      <c r="H4551" s="287"/>
      <c r="I4551" s="211"/>
      <c r="J4551" s="211"/>
      <c r="K4551" s="288"/>
    </row>
    <row r="4552" spans="4:11" x14ac:dyDescent="0.2">
      <c r="D4552" s="308"/>
      <c r="E4552" s="291"/>
      <c r="F4552" s="291"/>
      <c r="G4552" s="291"/>
      <c r="H4552" s="287"/>
      <c r="I4552" s="211"/>
      <c r="J4552" s="211"/>
      <c r="K4552" s="288"/>
    </row>
    <row r="4553" spans="4:11" x14ac:dyDescent="0.2">
      <c r="D4553" s="308"/>
      <c r="E4553" s="291"/>
      <c r="F4553" s="291"/>
      <c r="G4553" s="291"/>
      <c r="H4553" s="287"/>
      <c r="I4553" s="211"/>
      <c r="J4553" s="211"/>
      <c r="K4553" s="288"/>
    </row>
    <row r="4554" spans="4:11" x14ac:dyDescent="0.2">
      <c r="D4554" s="308"/>
      <c r="E4554" s="291"/>
      <c r="F4554" s="291"/>
      <c r="G4554" s="291"/>
      <c r="H4554" s="287"/>
      <c r="I4554" s="211"/>
      <c r="J4554" s="211"/>
      <c r="K4554" s="288"/>
    </row>
    <row r="4555" spans="4:11" x14ac:dyDescent="0.2">
      <c r="D4555" s="308"/>
      <c r="E4555" s="291"/>
      <c r="F4555" s="291"/>
      <c r="G4555" s="291"/>
      <c r="H4555" s="287"/>
      <c r="I4555" s="211"/>
      <c r="J4555" s="211"/>
      <c r="K4555" s="288"/>
    </row>
    <row r="4556" spans="4:11" x14ac:dyDescent="0.2">
      <c r="D4556" s="308"/>
      <c r="E4556" s="291"/>
      <c r="F4556" s="291"/>
      <c r="G4556" s="291"/>
      <c r="H4556" s="287"/>
      <c r="I4556" s="211"/>
      <c r="J4556" s="211"/>
      <c r="K4556" s="288"/>
    </row>
    <row r="4557" spans="4:11" x14ac:dyDescent="0.2">
      <c r="D4557" s="308"/>
      <c r="E4557" s="291"/>
      <c r="F4557" s="291"/>
      <c r="G4557" s="291"/>
      <c r="H4557" s="287"/>
      <c r="I4557" s="211"/>
      <c r="J4557" s="211"/>
      <c r="K4557" s="288"/>
    </row>
    <row r="4558" spans="4:11" x14ac:dyDescent="0.2">
      <c r="D4558" s="308"/>
      <c r="E4558" s="291"/>
      <c r="F4558" s="291"/>
      <c r="G4558" s="291"/>
      <c r="H4558" s="287"/>
      <c r="I4558" s="211"/>
      <c r="J4558" s="211"/>
      <c r="K4558" s="288"/>
    </row>
    <row r="4559" spans="4:11" x14ac:dyDescent="0.2">
      <c r="D4559" s="308"/>
      <c r="E4559" s="291"/>
      <c r="F4559" s="291"/>
      <c r="G4559" s="291"/>
      <c r="H4559" s="287"/>
      <c r="I4559" s="211"/>
      <c r="J4559" s="211"/>
      <c r="K4559" s="288"/>
    </row>
    <row r="4560" spans="4:11" x14ac:dyDescent="0.2">
      <c r="D4560" s="308"/>
      <c r="E4560" s="291"/>
      <c r="F4560" s="291"/>
      <c r="G4560" s="291"/>
      <c r="H4560" s="287"/>
      <c r="I4560" s="211"/>
      <c r="J4560" s="211"/>
      <c r="K4560" s="288"/>
    </row>
    <row r="4561" spans="4:11" x14ac:dyDescent="0.2">
      <c r="D4561" s="308"/>
      <c r="E4561" s="291"/>
      <c r="F4561" s="291"/>
      <c r="G4561" s="291"/>
      <c r="H4561" s="287"/>
      <c r="I4561" s="211"/>
      <c r="J4561" s="211"/>
      <c r="K4561" s="288"/>
    </row>
    <row r="4562" spans="4:11" x14ac:dyDescent="0.2">
      <c r="D4562" s="308"/>
      <c r="E4562" s="291"/>
      <c r="F4562" s="291"/>
      <c r="G4562" s="291"/>
      <c r="H4562" s="287"/>
      <c r="I4562" s="211"/>
      <c r="J4562" s="211"/>
      <c r="K4562" s="288"/>
    </row>
    <row r="4563" spans="4:11" x14ac:dyDescent="0.2">
      <c r="D4563" s="308"/>
      <c r="E4563" s="291"/>
      <c r="F4563" s="291"/>
      <c r="G4563" s="291"/>
      <c r="H4563" s="287"/>
      <c r="I4563" s="211"/>
      <c r="J4563" s="211"/>
      <c r="K4563" s="288"/>
    </row>
    <row r="4564" spans="4:11" x14ac:dyDescent="0.2">
      <c r="D4564" s="308"/>
      <c r="E4564" s="291"/>
      <c r="F4564" s="291"/>
      <c r="G4564" s="291"/>
      <c r="H4564" s="287"/>
      <c r="I4564" s="211"/>
      <c r="J4564" s="211"/>
      <c r="K4564" s="288"/>
    </row>
    <row r="4565" spans="4:11" x14ac:dyDescent="0.2">
      <c r="D4565" s="308"/>
      <c r="E4565" s="291"/>
      <c r="F4565" s="291"/>
      <c r="G4565" s="291"/>
      <c r="H4565" s="287"/>
      <c r="I4565" s="211"/>
      <c r="J4565" s="211"/>
      <c r="K4565" s="288"/>
    </row>
    <row r="4566" spans="4:11" x14ac:dyDescent="0.2">
      <c r="D4566" s="308"/>
      <c r="E4566" s="291"/>
      <c r="F4566" s="291"/>
      <c r="G4566" s="291"/>
      <c r="H4566" s="287"/>
      <c r="I4566" s="211"/>
      <c r="J4566" s="211"/>
      <c r="K4566" s="288"/>
    </row>
    <row r="4567" spans="4:11" x14ac:dyDescent="0.2">
      <c r="D4567" s="308"/>
      <c r="E4567" s="291"/>
      <c r="F4567" s="291"/>
      <c r="G4567" s="291"/>
      <c r="H4567" s="287"/>
      <c r="I4567" s="211"/>
      <c r="J4567" s="211"/>
      <c r="K4567" s="288"/>
    </row>
    <row r="4568" spans="4:11" x14ac:dyDescent="0.2">
      <c r="D4568" s="308"/>
      <c r="E4568" s="291"/>
      <c r="F4568" s="291"/>
      <c r="G4568" s="291"/>
      <c r="H4568" s="287"/>
      <c r="I4568" s="211"/>
      <c r="J4568" s="211"/>
      <c r="K4568" s="288"/>
    </row>
    <row r="4569" spans="4:11" x14ac:dyDescent="0.2">
      <c r="D4569" s="308"/>
      <c r="E4569" s="291"/>
      <c r="F4569" s="291"/>
      <c r="G4569" s="291"/>
      <c r="H4569" s="287"/>
      <c r="I4569" s="211"/>
      <c r="J4569" s="211"/>
      <c r="K4569" s="288"/>
    </row>
    <row r="4570" spans="4:11" x14ac:dyDescent="0.2">
      <c r="D4570" s="308"/>
      <c r="E4570" s="291"/>
      <c r="F4570" s="291"/>
      <c r="G4570" s="291"/>
      <c r="H4570" s="287"/>
      <c r="I4570" s="211"/>
      <c r="J4570" s="211"/>
      <c r="K4570" s="288"/>
    </row>
    <row r="4571" spans="4:11" x14ac:dyDescent="0.2">
      <c r="D4571" s="308"/>
      <c r="E4571" s="291"/>
      <c r="F4571" s="291"/>
      <c r="G4571" s="291"/>
      <c r="H4571" s="287"/>
      <c r="I4571" s="211"/>
      <c r="J4571" s="211"/>
      <c r="K4571" s="288"/>
    </row>
    <row r="4572" spans="4:11" x14ac:dyDescent="0.2">
      <c r="D4572" s="308"/>
      <c r="E4572" s="291"/>
      <c r="F4572" s="291"/>
      <c r="G4572" s="291"/>
      <c r="H4572" s="287"/>
      <c r="I4572" s="211"/>
      <c r="J4572" s="211"/>
      <c r="K4572" s="288"/>
    </row>
    <row r="4573" spans="4:11" x14ac:dyDescent="0.2">
      <c r="D4573" s="308"/>
      <c r="E4573" s="291"/>
      <c r="F4573" s="291"/>
      <c r="G4573" s="291"/>
      <c r="H4573" s="287"/>
      <c r="I4573" s="211"/>
      <c r="J4573" s="211"/>
      <c r="K4573" s="288"/>
    </row>
    <row r="4574" spans="4:11" x14ac:dyDescent="0.2">
      <c r="D4574" s="308"/>
      <c r="E4574" s="291"/>
      <c r="F4574" s="291"/>
      <c r="G4574" s="291"/>
      <c r="H4574" s="287"/>
      <c r="I4574" s="211"/>
      <c r="J4574" s="211"/>
      <c r="K4574" s="288"/>
    </row>
    <row r="4575" spans="4:11" x14ac:dyDescent="0.2">
      <c r="D4575" s="308"/>
      <c r="E4575" s="291"/>
      <c r="F4575" s="291"/>
      <c r="G4575" s="291"/>
      <c r="H4575" s="287"/>
      <c r="I4575" s="211"/>
      <c r="J4575" s="211"/>
      <c r="K4575" s="288"/>
    </row>
    <row r="4576" spans="4:11" x14ac:dyDescent="0.2">
      <c r="D4576" s="308"/>
      <c r="E4576" s="291"/>
      <c r="F4576" s="291"/>
      <c r="G4576" s="291"/>
      <c r="H4576" s="287"/>
      <c r="I4576" s="211"/>
      <c r="J4576" s="211"/>
      <c r="K4576" s="288"/>
    </row>
    <row r="4577" spans="4:11" x14ac:dyDescent="0.2">
      <c r="D4577" s="308"/>
      <c r="E4577" s="291"/>
      <c r="F4577" s="291"/>
      <c r="G4577" s="291"/>
      <c r="H4577" s="287"/>
      <c r="I4577" s="211"/>
      <c r="J4577" s="211"/>
      <c r="K4577" s="288"/>
    </row>
    <row r="4578" spans="4:11" x14ac:dyDescent="0.2">
      <c r="D4578" s="308"/>
      <c r="E4578" s="291"/>
      <c r="F4578" s="291"/>
      <c r="G4578" s="291"/>
      <c r="H4578" s="287"/>
      <c r="I4578" s="211"/>
      <c r="J4578" s="211"/>
      <c r="K4578" s="288"/>
    </row>
    <row r="4579" spans="4:11" x14ac:dyDescent="0.2">
      <c r="D4579" s="308"/>
      <c r="E4579" s="291"/>
      <c r="F4579" s="291"/>
      <c r="G4579" s="291"/>
      <c r="H4579" s="287"/>
      <c r="I4579" s="211"/>
      <c r="J4579" s="211"/>
      <c r="K4579" s="288"/>
    </row>
    <row r="4580" spans="4:11" x14ac:dyDescent="0.2">
      <c r="D4580" s="308"/>
      <c r="E4580" s="291"/>
      <c r="F4580" s="291"/>
      <c r="G4580" s="291"/>
      <c r="H4580" s="287"/>
      <c r="I4580" s="211"/>
      <c r="J4580" s="211"/>
      <c r="K4580" s="288"/>
    </row>
    <row r="4581" spans="4:11" x14ac:dyDescent="0.2">
      <c r="D4581" s="308"/>
      <c r="E4581" s="291"/>
      <c r="F4581" s="291"/>
      <c r="G4581" s="291"/>
      <c r="H4581" s="287"/>
      <c r="I4581" s="211"/>
      <c r="J4581" s="211"/>
      <c r="K4581" s="288"/>
    </row>
    <row r="4582" spans="4:11" x14ac:dyDescent="0.2">
      <c r="D4582" s="308"/>
      <c r="E4582" s="291"/>
      <c r="F4582" s="291"/>
      <c r="G4582" s="291"/>
      <c r="H4582" s="287"/>
      <c r="I4582" s="211"/>
      <c r="J4582" s="211"/>
      <c r="K4582" s="288"/>
    </row>
    <row r="4583" spans="4:11" x14ac:dyDescent="0.2">
      <c r="D4583" s="308"/>
      <c r="E4583" s="291"/>
      <c r="F4583" s="291"/>
      <c r="G4583" s="291"/>
      <c r="H4583" s="287"/>
      <c r="I4583" s="211"/>
      <c r="J4583" s="211"/>
      <c r="K4583" s="288"/>
    </row>
    <row r="4584" spans="4:11" x14ac:dyDescent="0.2">
      <c r="D4584" s="308"/>
      <c r="E4584" s="291"/>
      <c r="F4584" s="291"/>
      <c r="G4584" s="291"/>
      <c r="H4584" s="287"/>
      <c r="I4584" s="211"/>
      <c r="J4584" s="211"/>
      <c r="K4584" s="288"/>
    </row>
    <row r="4585" spans="4:11" x14ac:dyDescent="0.2">
      <c r="D4585" s="308"/>
      <c r="E4585" s="291"/>
      <c r="F4585" s="291"/>
      <c r="G4585" s="291"/>
      <c r="H4585" s="287"/>
      <c r="I4585" s="211"/>
      <c r="J4585" s="211"/>
      <c r="K4585" s="288"/>
    </row>
    <row r="4586" spans="4:11" x14ac:dyDescent="0.2">
      <c r="D4586" s="308"/>
      <c r="E4586" s="291"/>
      <c r="F4586" s="291"/>
      <c r="G4586" s="291"/>
      <c r="H4586" s="287"/>
      <c r="I4586" s="211"/>
      <c r="J4586" s="211"/>
      <c r="K4586" s="288"/>
    </row>
    <row r="4587" spans="4:11" x14ac:dyDescent="0.2">
      <c r="D4587" s="308"/>
      <c r="E4587" s="291"/>
      <c r="F4587" s="291"/>
      <c r="G4587" s="291"/>
      <c r="H4587" s="287"/>
      <c r="I4587" s="211"/>
      <c r="J4587" s="211"/>
      <c r="K4587" s="288"/>
    </row>
    <row r="4588" spans="4:11" x14ac:dyDescent="0.2">
      <c r="D4588" s="308"/>
      <c r="E4588" s="291"/>
      <c r="F4588" s="291"/>
      <c r="G4588" s="291"/>
      <c r="H4588" s="287"/>
      <c r="I4588" s="211"/>
      <c r="J4588" s="211"/>
      <c r="K4588" s="288"/>
    </row>
    <row r="4589" spans="4:11" x14ac:dyDescent="0.2">
      <c r="D4589" s="308"/>
      <c r="E4589" s="291"/>
      <c r="F4589" s="291"/>
      <c r="G4589" s="291"/>
      <c r="H4589" s="287"/>
      <c r="I4589" s="211"/>
      <c r="J4589" s="211"/>
      <c r="K4589" s="288"/>
    </row>
    <row r="4590" spans="4:11" x14ac:dyDescent="0.2">
      <c r="D4590" s="308"/>
      <c r="E4590" s="291"/>
      <c r="F4590" s="291"/>
      <c r="G4590" s="291"/>
      <c r="H4590" s="287"/>
      <c r="I4590" s="211"/>
      <c r="J4590" s="211"/>
      <c r="K4590" s="288"/>
    </row>
    <row r="4591" spans="4:11" x14ac:dyDescent="0.2">
      <c r="D4591" s="308"/>
      <c r="E4591" s="291"/>
      <c r="F4591" s="291"/>
      <c r="G4591" s="291"/>
      <c r="H4591" s="287"/>
      <c r="I4591" s="211"/>
      <c r="J4591" s="211"/>
      <c r="K4591" s="288"/>
    </row>
    <row r="4592" spans="4:11" x14ac:dyDescent="0.2">
      <c r="D4592" s="308"/>
      <c r="E4592" s="291"/>
      <c r="F4592" s="291"/>
      <c r="G4592" s="291"/>
      <c r="H4592" s="287"/>
      <c r="I4592" s="211"/>
      <c r="J4592" s="211"/>
      <c r="K4592" s="288"/>
    </row>
    <row r="4593" spans="4:11" x14ac:dyDescent="0.2">
      <c r="D4593" s="308"/>
      <c r="E4593" s="291"/>
      <c r="F4593" s="291"/>
      <c r="G4593" s="291"/>
      <c r="H4593" s="287"/>
      <c r="I4593" s="211"/>
      <c r="J4593" s="211"/>
      <c r="K4593" s="288"/>
    </row>
    <row r="4594" spans="4:11" x14ac:dyDescent="0.2">
      <c r="D4594" s="308"/>
      <c r="E4594" s="291"/>
      <c r="F4594" s="291"/>
      <c r="G4594" s="291"/>
      <c r="H4594" s="287"/>
      <c r="I4594" s="211"/>
      <c r="J4594" s="211"/>
      <c r="K4594" s="288"/>
    </row>
    <row r="4595" spans="4:11" x14ac:dyDescent="0.2">
      <c r="D4595" s="308"/>
      <c r="E4595" s="291"/>
      <c r="F4595" s="291"/>
      <c r="G4595" s="291"/>
      <c r="H4595" s="287"/>
      <c r="I4595" s="211"/>
      <c r="J4595" s="211"/>
      <c r="K4595" s="288"/>
    </row>
    <row r="4596" spans="4:11" x14ac:dyDescent="0.2">
      <c r="D4596" s="308"/>
      <c r="E4596" s="291"/>
      <c r="F4596" s="291"/>
      <c r="G4596" s="291"/>
      <c r="H4596" s="287"/>
      <c r="I4596" s="211"/>
      <c r="J4596" s="211"/>
      <c r="K4596" s="288"/>
    </row>
    <row r="4597" spans="4:11" x14ac:dyDescent="0.2">
      <c r="D4597" s="308"/>
      <c r="E4597" s="291"/>
      <c r="F4597" s="291"/>
      <c r="G4597" s="291"/>
      <c r="H4597" s="287"/>
      <c r="I4597" s="211"/>
      <c r="J4597" s="211"/>
      <c r="K4597" s="288"/>
    </row>
    <row r="4598" spans="4:11" x14ac:dyDescent="0.2">
      <c r="D4598" s="308"/>
      <c r="E4598" s="291"/>
      <c r="F4598" s="291"/>
      <c r="G4598" s="291"/>
      <c r="H4598" s="287"/>
      <c r="I4598" s="211"/>
      <c r="J4598" s="211"/>
      <c r="K4598" s="288"/>
    </row>
    <row r="4599" spans="4:11" x14ac:dyDescent="0.2">
      <c r="D4599" s="308"/>
      <c r="E4599" s="291"/>
      <c r="F4599" s="291"/>
      <c r="G4599" s="291"/>
      <c r="H4599" s="287"/>
      <c r="I4599" s="211"/>
      <c r="J4599" s="211"/>
      <c r="K4599" s="288"/>
    </row>
    <row r="4600" spans="4:11" x14ac:dyDescent="0.2">
      <c r="D4600" s="308"/>
      <c r="E4600" s="291"/>
      <c r="F4600" s="291"/>
      <c r="G4600" s="291"/>
      <c r="H4600" s="287"/>
      <c r="I4600" s="211"/>
      <c r="J4600" s="211"/>
      <c r="K4600" s="288"/>
    </row>
    <row r="4601" spans="4:11" x14ac:dyDescent="0.2">
      <c r="D4601" s="308"/>
      <c r="E4601" s="291"/>
      <c r="F4601" s="291"/>
      <c r="G4601" s="291"/>
      <c r="H4601" s="287"/>
      <c r="I4601" s="211"/>
      <c r="J4601" s="211"/>
      <c r="K4601" s="288"/>
    </row>
    <row r="4602" spans="4:11" x14ac:dyDescent="0.2">
      <c r="D4602" s="308"/>
      <c r="E4602" s="291"/>
      <c r="F4602" s="291"/>
      <c r="G4602" s="291"/>
      <c r="H4602" s="287"/>
      <c r="I4602" s="211"/>
      <c r="J4602" s="211"/>
      <c r="K4602" s="288"/>
    </row>
    <row r="4603" spans="4:11" x14ac:dyDescent="0.2">
      <c r="D4603" s="308"/>
      <c r="E4603" s="291"/>
      <c r="F4603" s="291"/>
      <c r="G4603" s="291"/>
      <c r="H4603" s="287"/>
      <c r="I4603" s="211"/>
      <c r="J4603" s="211"/>
      <c r="K4603" s="288"/>
    </row>
    <row r="4604" spans="4:11" x14ac:dyDescent="0.2">
      <c r="D4604" s="308"/>
      <c r="E4604" s="291"/>
      <c r="F4604" s="291"/>
      <c r="G4604" s="291"/>
      <c r="H4604" s="287"/>
      <c r="I4604" s="211"/>
      <c r="J4604" s="211"/>
      <c r="K4604" s="288"/>
    </row>
    <row r="4605" spans="4:11" x14ac:dyDescent="0.2">
      <c r="D4605" s="308"/>
      <c r="E4605" s="291"/>
      <c r="F4605" s="291"/>
      <c r="G4605" s="291"/>
      <c r="H4605" s="287"/>
      <c r="I4605" s="211"/>
      <c r="J4605" s="211"/>
      <c r="K4605" s="288"/>
    </row>
    <row r="4606" spans="4:11" x14ac:dyDescent="0.2">
      <c r="D4606" s="308"/>
      <c r="E4606" s="291"/>
      <c r="F4606" s="291"/>
      <c r="G4606" s="291"/>
      <c r="H4606" s="287"/>
      <c r="I4606" s="211"/>
      <c r="J4606" s="211"/>
      <c r="K4606" s="288"/>
    </row>
    <row r="4607" spans="4:11" x14ac:dyDescent="0.2">
      <c r="D4607" s="308"/>
      <c r="E4607" s="291"/>
      <c r="F4607" s="291"/>
      <c r="G4607" s="291"/>
      <c r="H4607" s="287"/>
      <c r="I4607" s="211"/>
      <c r="J4607" s="211"/>
      <c r="K4607" s="288"/>
    </row>
    <row r="4608" spans="4:11" x14ac:dyDescent="0.2">
      <c r="D4608" s="308"/>
      <c r="E4608" s="291"/>
      <c r="F4608" s="291"/>
      <c r="G4608" s="291"/>
      <c r="H4608" s="287"/>
      <c r="I4608" s="211"/>
      <c r="J4608" s="211"/>
      <c r="K4608" s="288"/>
    </row>
    <row r="4609" spans="4:11" x14ac:dyDescent="0.2">
      <c r="D4609" s="308"/>
      <c r="E4609" s="291"/>
      <c r="F4609" s="291"/>
      <c r="G4609" s="291"/>
      <c r="H4609" s="287"/>
      <c r="I4609" s="211"/>
      <c r="J4609" s="211"/>
      <c r="K4609" s="288"/>
    </row>
    <row r="4610" spans="4:11" x14ac:dyDescent="0.2">
      <c r="D4610" s="308"/>
      <c r="E4610" s="291"/>
      <c r="F4610" s="291"/>
      <c r="G4610" s="291"/>
      <c r="H4610" s="287"/>
      <c r="I4610" s="211"/>
      <c r="J4610" s="211"/>
      <c r="K4610" s="288"/>
    </row>
    <row r="4611" spans="4:11" x14ac:dyDescent="0.2">
      <c r="D4611" s="308"/>
      <c r="E4611" s="291"/>
      <c r="F4611" s="291"/>
      <c r="G4611" s="291"/>
      <c r="H4611" s="287"/>
      <c r="I4611" s="211"/>
      <c r="J4611" s="211"/>
      <c r="K4611" s="288"/>
    </row>
    <row r="4612" spans="4:11" x14ac:dyDescent="0.2">
      <c r="D4612" s="308"/>
      <c r="E4612" s="291"/>
      <c r="F4612" s="291"/>
      <c r="G4612" s="291"/>
      <c r="H4612" s="287"/>
      <c r="I4612" s="211"/>
      <c r="J4612" s="211"/>
      <c r="K4612" s="288"/>
    </row>
    <row r="4613" spans="4:11" x14ac:dyDescent="0.2">
      <c r="D4613" s="308"/>
      <c r="E4613" s="291"/>
      <c r="F4613" s="291"/>
      <c r="G4613" s="291"/>
      <c r="H4613" s="287"/>
      <c r="I4613" s="211"/>
      <c r="J4613" s="211"/>
      <c r="K4613" s="288"/>
    </row>
    <row r="4614" spans="4:11" x14ac:dyDescent="0.2">
      <c r="D4614" s="308"/>
      <c r="E4614" s="291"/>
      <c r="F4614" s="291"/>
      <c r="G4614" s="291"/>
      <c r="H4614" s="287"/>
      <c r="I4614" s="211"/>
      <c r="J4614" s="211"/>
      <c r="K4614" s="288"/>
    </row>
    <row r="4615" spans="4:11" x14ac:dyDescent="0.2">
      <c r="D4615" s="308"/>
      <c r="E4615" s="291"/>
      <c r="F4615" s="291"/>
      <c r="G4615" s="291"/>
      <c r="H4615" s="287"/>
      <c r="I4615" s="211"/>
      <c r="J4615" s="211"/>
      <c r="K4615" s="288"/>
    </row>
    <row r="4616" spans="4:11" x14ac:dyDescent="0.2">
      <c r="D4616" s="308"/>
      <c r="E4616" s="291"/>
      <c r="F4616" s="291"/>
      <c r="G4616" s="291"/>
      <c r="H4616" s="287"/>
      <c r="I4616" s="211"/>
      <c r="J4616" s="211"/>
      <c r="K4616" s="288"/>
    </row>
    <row r="4617" spans="4:11" x14ac:dyDescent="0.2">
      <c r="D4617" s="308"/>
      <c r="E4617" s="291"/>
      <c r="F4617" s="291"/>
      <c r="G4617" s="291"/>
      <c r="H4617" s="287"/>
      <c r="I4617" s="211"/>
      <c r="J4617" s="211"/>
      <c r="K4617" s="288"/>
    </row>
    <row r="4618" spans="4:11" x14ac:dyDescent="0.2">
      <c r="D4618" s="308"/>
      <c r="E4618" s="291"/>
      <c r="F4618" s="291"/>
      <c r="G4618" s="291"/>
      <c r="H4618" s="287"/>
      <c r="I4618" s="211"/>
      <c r="J4618" s="211"/>
      <c r="K4618" s="288"/>
    </row>
    <row r="4619" spans="4:11" x14ac:dyDescent="0.2">
      <c r="D4619" s="308"/>
      <c r="E4619" s="291"/>
      <c r="F4619" s="291"/>
      <c r="G4619" s="291"/>
      <c r="H4619" s="287"/>
      <c r="I4619" s="211"/>
      <c r="J4619" s="211"/>
      <c r="K4619" s="288"/>
    </row>
    <row r="4620" spans="4:11" x14ac:dyDescent="0.2">
      <c r="D4620" s="308"/>
      <c r="E4620" s="291"/>
      <c r="F4620" s="291"/>
      <c r="G4620" s="291"/>
      <c r="H4620" s="287"/>
      <c r="I4620" s="211"/>
      <c r="J4620" s="211"/>
      <c r="K4620" s="288"/>
    </row>
    <row r="4621" spans="4:11" x14ac:dyDescent="0.2">
      <c r="D4621" s="308"/>
      <c r="E4621" s="291"/>
      <c r="F4621" s="291"/>
      <c r="G4621" s="291"/>
      <c r="H4621" s="287"/>
      <c r="I4621" s="211"/>
      <c r="J4621" s="211"/>
      <c r="K4621" s="288"/>
    </row>
    <row r="4622" spans="4:11" x14ac:dyDescent="0.2">
      <c r="D4622" s="308"/>
      <c r="E4622" s="291"/>
      <c r="F4622" s="291"/>
      <c r="G4622" s="291"/>
      <c r="H4622" s="287"/>
      <c r="I4622" s="211"/>
      <c r="J4622" s="211"/>
      <c r="K4622" s="288"/>
    </row>
    <row r="4623" spans="4:11" x14ac:dyDescent="0.2">
      <c r="D4623" s="308"/>
      <c r="E4623" s="291"/>
      <c r="F4623" s="291"/>
      <c r="G4623" s="291"/>
      <c r="H4623" s="287"/>
      <c r="I4623" s="211"/>
      <c r="J4623" s="211"/>
      <c r="K4623" s="288"/>
    </row>
    <row r="4624" spans="4:11" x14ac:dyDescent="0.2">
      <c r="D4624" s="308"/>
      <c r="E4624" s="291"/>
      <c r="F4624" s="291"/>
      <c r="G4624" s="291"/>
      <c r="H4624" s="287"/>
      <c r="I4624" s="211"/>
      <c r="J4624" s="211"/>
      <c r="K4624" s="288"/>
    </row>
    <row r="4625" spans="4:11" x14ac:dyDescent="0.2">
      <c r="D4625" s="308"/>
      <c r="E4625" s="291"/>
      <c r="F4625" s="291"/>
      <c r="G4625" s="291"/>
      <c r="H4625" s="287"/>
      <c r="I4625" s="211"/>
      <c r="J4625" s="211"/>
      <c r="K4625" s="288"/>
    </row>
    <row r="4626" spans="4:11" x14ac:dyDescent="0.2">
      <c r="D4626" s="308"/>
      <c r="E4626" s="291"/>
      <c r="F4626" s="291"/>
      <c r="G4626" s="291"/>
      <c r="H4626" s="287"/>
      <c r="I4626" s="211"/>
      <c r="J4626" s="211"/>
      <c r="K4626" s="288"/>
    </row>
    <row r="4627" spans="4:11" x14ac:dyDescent="0.2">
      <c r="D4627" s="308"/>
      <c r="E4627" s="291"/>
      <c r="F4627" s="291"/>
      <c r="G4627" s="291"/>
      <c r="H4627" s="287"/>
      <c r="I4627" s="211"/>
      <c r="J4627" s="211"/>
      <c r="K4627" s="288"/>
    </row>
    <row r="4628" spans="4:11" x14ac:dyDescent="0.2">
      <c r="D4628" s="308"/>
      <c r="E4628" s="291"/>
      <c r="F4628" s="291"/>
      <c r="G4628" s="291"/>
      <c r="H4628" s="287"/>
      <c r="I4628" s="211"/>
      <c r="J4628" s="211"/>
      <c r="K4628" s="288"/>
    </row>
    <row r="4629" spans="4:11" x14ac:dyDescent="0.2">
      <c r="D4629" s="308"/>
      <c r="E4629" s="291"/>
      <c r="F4629" s="291"/>
      <c r="G4629" s="291"/>
      <c r="H4629" s="287"/>
      <c r="I4629" s="211"/>
      <c r="J4629" s="211"/>
      <c r="K4629" s="288"/>
    </row>
    <row r="4630" spans="4:11" x14ac:dyDescent="0.2">
      <c r="D4630" s="308"/>
      <c r="E4630" s="291"/>
      <c r="F4630" s="291"/>
      <c r="G4630" s="291"/>
      <c r="H4630" s="287"/>
      <c r="I4630" s="211"/>
      <c r="J4630" s="211"/>
      <c r="K4630" s="288"/>
    </row>
    <row r="4631" spans="4:11" x14ac:dyDescent="0.2">
      <c r="D4631" s="308"/>
      <c r="E4631" s="291"/>
      <c r="F4631" s="291"/>
      <c r="G4631" s="291"/>
      <c r="H4631" s="287"/>
      <c r="I4631" s="211"/>
      <c r="J4631" s="211"/>
      <c r="K4631" s="288"/>
    </row>
    <row r="4632" spans="4:11" x14ac:dyDescent="0.2">
      <c r="D4632" s="308"/>
      <c r="E4632" s="291"/>
      <c r="F4632" s="291"/>
      <c r="G4632" s="291"/>
      <c r="H4632" s="287"/>
      <c r="I4632" s="211"/>
      <c r="J4632" s="211"/>
      <c r="K4632" s="288"/>
    </row>
    <row r="4633" spans="4:11" x14ac:dyDescent="0.2">
      <c r="D4633" s="308"/>
      <c r="E4633" s="291"/>
      <c r="F4633" s="291"/>
      <c r="G4633" s="291"/>
      <c r="H4633" s="287"/>
      <c r="I4633" s="211"/>
      <c r="J4633" s="211"/>
      <c r="K4633" s="288"/>
    </row>
    <row r="4634" spans="4:11" x14ac:dyDescent="0.2">
      <c r="D4634" s="308"/>
      <c r="E4634" s="291"/>
      <c r="F4634" s="291"/>
      <c r="G4634" s="291"/>
      <c r="H4634" s="287"/>
      <c r="I4634" s="211"/>
      <c r="J4634" s="211"/>
      <c r="K4634" s="288"/>
    </row>
    <row r="4635" spans="4:11" x14ac:dyDescent="0.2">
      <c r="D4635" s="308"/>
      <c r="E4635" s="291"/>
      <c r="F4635" s="291"/>
      <c r="G4635" s="291"/>
      <c r="H4635" s="287"/>
      <c r="I4635" s="211"/>
      <c r="J4635" s="211"/>
      <c r="K4635" s="288"/>
    </row>
    <row r="4636" spans="4:11" x14ac:dyDescent="0.2">
      <c r="D4636" s="308"/>
      <c r="E4636" s="291"/>
      <c r="F4636" s="291"/>
      <c r="G4636" s="291"/>
      <c r="H4636" s="287"/>
      <c r="I4636" s="211"/>
      <c r="J4636" s="211"/>
      <c r="K4636" s="288"/>
    </row>
    <row r="4637" spans="4:11" x14ac:dyDescent="0.2">
      <c r="D4637" s="308"/>
      <c r="E4637" s="291"/>
      <c r="F4637" s="291"/>
      <c r="G4637" s="291"/>
      <c r="H4637" s="287"/>
      <c r="I4637" s="211"/>
      <c r="J4637" s="211"/>
      <c r="K4637" s="288"/>
    </row>
    <row r="4638" spans="4:11" x14ac:dyDescent="0.2">
      <c r="D4638" s="308"/>
      <c r="E4638" s="291"/>
      <c r="F4638" s="291"/>
      <c r="G4638" s="291"/>
      <c r="H4638" s="287"/>
      <c r="I4638" s="211"/>
      <c r="J4638" s="211"/>
      <c r="K4638" s="288"/>
    </row>
    <row r="4639" spans="4:11" x14ac:dyDescent="0.2">
      <c r="D4639" s="308"/>
      <c r="E4639" s="291"/>
      <c r="F4639" s="291"/>
      <c r="G4639" s="291"/>
      <c r="H4639" s="287"/>
      <c r="I4639" s="211"/>
      <c r="J4639" s="211"/>
      <c r="K4639" s="288"/>
    </row>
    <row r="4640" spans="4:11" x14ac:dyDescent="0.2">
      <c r="D4640" s="308"/>
      <c r="E4640" s="291"/>
      <c r="F4640" s="291"/>
      <c r="G4640" s="291"/>
      <c r="H4640" s="287"/>
      <c r="I4640" s="211"/>
      <c r="J4640" s="211"/>
      <c r="K4640" s="288"/>
    </row>
    <row r="4641" spans="4:11" x14ac:dyDescent="0.2">
      <c r="D4641" s="308"/>
      <c r="E4641" s="291"/>
      <c r="F4641" s="291"/>
      <c r="G4641" s="291"/>
      <c r="H4641" s="287"/>
      <c r="I4641" s="211"/>
      <c r="J4641" s="211"/>
      <c r="K4641" s="288"/>
    </row>
    <row r="4642" spans="4:11" x14ac:dyDescent="0.2">
      <c r="D4642" s="308"/>
      <c r="E4642" s="291"/>
      <c r="F4642" s="291"/>
      <c r="G4642" s="291"/>
      <c r="H4642" s="287"/>
      <c r="I4642" s="211"/>
      <c r="J4642" s="211"/>
      <c r="K4642" s="288"/>
    </row>
    <row r="4643" spans="4:11" x14ac:dyDescent="0.2">
      <c r="D4643" s="308"/>
      <c r="E4643" s="291"/>
      <c r="F4643" s="291"/>
      <c r="G4643" s="291"/>
      <c r="H4643" s="287"/>
      <c r="I4643" s="211"/>
      <c r="J4643" s="211"/>
      <c r="K4643" s="288"/>
    </row>
    <row r="4644" spans="4:11" x14ac:dyDescent="0.2">
      <c r="D4644" s="308"/>
      <c r="E4644" s="291"/>
      <c r="F4644" s="291"/>
      <c r="G4644" s="291"/>
      <c r="H4644" s="287"/>
      <c r="I4644" s="211"/>
      <c r="J4644" s="211"/>
      <c r="K4644" s="288"/>
    </row>
    <row r="4645" spans="4:11" x14ac:dyDescent="0.2">
      <c r="D4645" s="308"/>
      <c r="E4645" s="291"/>
      <c r="F4645" s="291"/>
      <c r="G4645" s="291"/>
      <c r="H4645" s="287"/>
      <c r="I4645" s="211"/>
      <c r="J4645" s="211"/>
      <c r="K4645" s="288"/>
    </row>
    <row r="4646" spans="4:11" x14ac:dyDescent="0.2">
      <c r="D4646" s="308"/>
      <c r="E4646" s="291"/>
      <c r="F4646" s="291"/>
      <c r="G4646" s="291"/>
      <c r="H4646" s="287"/>
      <c r="I4646" s="211"/>
      <c r="J4646" s="211"/>
      <c r="K4646" s="288"/>
    </row>
    <row r="4647" spans="4:11" x14ac:dyDescent="0.2">
      <c r="D4647" s="308"/>
      <c r="E4647" s="291"/>
      <c r="F4647" s="291"/>
      <c r="G4647" s="291"/>
      <c r="H4647" s="287"/>
      <c r="I4647" s="211"/>
      <c r="J4647" s="211"/>
      <c r="K4647" s="288"/>
    </row>
    <row r="4648" spans="4:11" x14ac:dyDescent="0.2">
      <c r="D4648" s="308"/>
      <c r="E4648" s="291"/>
      <c r="F4648" s="291"/>
      <c r="G4648" s="291"/>
      <c r="H4648" s="287"/>
      <c r="I4648" s="211"/>
      <c r="J4648" s="211"/>
      <c r="K4648" s="288"/>
    </row>
    <row r="4649" spans="4:11" x14ac:dyDescent="0.2">
      <c r="D4649" s="308"/>
      <c r="E4649" s="291"/>
      <c r="F4649" s="291"/>
      <c r="G4649" s="291"/>
      <c r="H4649" s="287"/>
      <c r="I4649" s="211"/>
      <c r="J4649" s="211"/>
      <c r="K4649" s="288"/>
    </row>
    <row r="4650" spans="4:11" x14ac:dyDescent="0.2">
      <c r="D4650" s="308"/>
      <c r="E4650" s="291"/>
      <c r="F4650" s="291"/>
      <c r="G4650" s="291"/>
      <c r="H4650" s="287"/>
      <c r="I4650" s="211"/>
      <c r="J4650" s="211"/>
      <c r="K4650" s="288"/>
    </row>
    <row r="4651" spans="4:11" x14ac:dyDescent="0.2">
      <c r="D4651" s="308"/>
      <c r="E4651" s="291"/>
      <c r="F4651" s="291"/>
      <c r="G4651" s="291"/>
      <c r="H4651" s="287"/>
      <c r="I4651" s="211"/>
      <c r="J4651" s="211"/>
      <c r="K4651" s="288"/>
    </row>
    <row r="4652" spans="4:11" x14ac:dyDescent="0.2">
      <c r="D4652" s="308"/>
      <c r="E4652" s="291"/>
      <c r="F4652" s="291"/>
      <c r="G4652" s="291"/>
      <c r="H4652" s="287"/>
      <c r="I4652" s="211"/>
      <c r="J4652" s="211"/>
      <c r="K4652" s="288"/>
    </row>
    <row r="4653" spans="4:11" x14ac:dyDescent="0.2">
      <c r="D4653" s="308"/>
      <c r="E4653" s="291"/>
      <c r="F4653" s="291"/>
      <c r="G4653" s="291"/>
      <c r="H4653" s="287"/>
      <c r="I4653" s="211"/>
      <c r="J4653" s="211"/>
      <c r="K4653" s="288"/>
    </row>
    <row r="4654" spans="4:11" x14ac:dyDescent="0.2">
      <c r="D4654" s="308"/>
      <c r="E4654" s="291"/>
      <c r="F4654" s="291"/>
      <c r="G4654" s="291"/>
      <c r="H4654" s="287"/>
      <c r="I4654" s="211"/>
      <c r="J4654" s="211"/>
      <c r="K4654" s="288"/>
    </row>
    <row r="4655" spans="4:11" x14ac:dyDescent="0.2">
      <c r="D4655" s="308"/>
      <c r="E4655" s="291"/>
      <c r="F4655" s="291"/>
      <c r="G4655" s="291"/>
      <c r="H4655" s="287"/>
      <c r="I4655" s="211"/>
      <c r="J4655" s="211"/>
      <c r="K4655" s="288"/>
    </row>
    <row r="4656" spans="4:11" x14ac:dyDescent="0.2">
      <c r="D4656" s="308"/>
      <c r="E4656" s="291"/>
      <c r="F4656" s="291"/>
      <c r="G4656" s="291"/>
      <c r="H4656" s="287"/>
      <c r="I4656" s="211"/>
      <c r="J4656" s="211"/>
      <c r="K4656" s="288"/>
    </row>
    <row r="4657" spans="4:11" x14ac:dyDescent="0.2">
      <c r="D4657" s="308"/>
      <c r="E4657" s="291"/>
      <c r="F4657" s="291"/>
      <c r="G4657" s="291"/>
      <c r="H4657" s="287"/>
      <c r="I4657" s="211"/>
      <c r="J4657" s="211"/>
      <c r="K4657" s="288"/>
    </row>
    <row r="4658" spans="4:11" x14ac:dyDescent="0.2">
      <c r="D4658" s="308"/>
      <c r="E4658" s="291"/>
      <c r="F4658" s="291"/>
      <c r="G4658" s="291"/>
      <c r="H4658" s="287"/>
      <c r="I4658" s="211"/>
      <c r="J4658" s="211"/>
      <c r="K4658" s="288"/>
    </row>
    <row r="4659" spans="4:11" x14ac:dyDescent="0.2">
      <c r="D4659" s="308"/>
      <c r="E4659" s="291"/>
      <c r="F4659" s="291"/>
      <c r="G4659" s="291"/>
      <c r="H4659" s="287"/>
      <c r="I4659" s="211"/>
      <c r="J4659" s="211"/>
      <c r="K4659" s="288"/>
    </row>
    <row r="4660" spans="4:11" x14ac:dyDescent="0.2">
      <c r="D4660" s="308"/>
      <c r="E4660" s="291"/>
      <c r="F4660" s="291"/>
      <c r="G4660" s="291"/>
      <c r="H4660" s="287"/>
      <c r="I4660" s="211"/>
      <c r="J4660" s="211"/>
      <c r="K4660" s="288"/>
    </row>
    <row r="4661" spans="4:11" x14ac:dyDescent="0.2">
      <c r="D4661" s="308"/>
      <c r="E4661" s="291"/>
      <c r="F4661" s="291"/>
      <c r="G4661" s="291"/>
      <c r="H4661" s="287"/>
      <c r="I4661" s="211"/>
      <c r="J4661" s="211"/>
      <c r="K4661" s="288"/>
    </row>
    <row r="4662" spans="4:11" x14ac:dyDescent="0.2">
      <c r="D4662" s="308"/>
      <c r="E4662" s="291"/>
      <c r="F4662" s="291"/>
      <c r="G4662" s="291"/>
      <c r="H4662" s="287"/>
      <c r="I4662" s="211"/>
      <c r="J4662" s="211"/>
      <c r="K4662" s="288"/>
    </row>
    <row r="4663" spans="4:11" x14ac:dyDescent="0.2">
      <c r="D4663" s="308"/>
      <c r="E4663" s="291"/>
      <c r="F4663" s="291"/>
      <c r="G4663" s="291"/>
      <c r="H4663" s="287"/>
      <c r="I4663" s="211"/>
      <c r="J4663" s="211"/>
      <c r="K4663" s="288"/>
    </row>
    <row r="4664" spans="4:11" x14ac:dyDescent="0.2">
      <c r="D4664" s="308"/>
      <c r="E4664" s="291"/>
      <c r="F4664" s="291"/>
      <c r="G4664" s="291"/>
      <c r="H4664" s="287"/>
      <c r="I4664" s="211"/>
      <c r="J4664" s="211"/>
      <c r="K4664" s="288"/>
    </row>
    <row r="4665" spans="4:11" x14ac:dyDescent="0.2">
      <c r="D4665" s="308"/>
      <c r="E4665" s="291"/>
      <c r="F4665" s="291"/>
      <c r="G4665" s="291"/>
      <c r="H4665" s="287"/>
      <c r="I4665" s="211"/>
      <c r="J4665" s="211"/>
      <c r="K4665" s="288"/>
    </row>
    <row r="4666" spans="4:11" x14ac:dyDescent="0.2">
      <c r="D4666" s="308"/>
      <c r="E4666" s="291"/>
      <c r="F4666" s="291"/>
      <c r="G4666" s="291"/>
      <c r="H4666" s="287"/>
      <c r="I4666" s="211"/>
      <c r="J4666" s="211"/>
      <c r="K4666" s="288"/>
    </row>
    <row r="4667" spans="4:11" x14ac:dyDescent="0.2">
      <c r="D4667" s="308"/>
      <c r="E4667" s="291"/>
      <c r="F4667" s="291"/>
      <c r="G4667" s="291"/>
      <c r="H4667" s="287"/>
      <c r="I4667" s="211"/>
      <c r="J4667" s="211"/>
      <c r="K4667" s="288"/>
    </row>
    <row r="4668" spans="4:11" x14ac:dyDescent="0.2">
      <c r="D4668" s="308"/>
      <c r="E4668" s="291"/>
      <c r="F4668" s="291"/>
      <c r="G4668" s="291"/>
      <c r="H4668" s="287"/>
      <c r="I4668" s="211"/>
      <c r="J4668" s="211"/>
      <c r="K4668" s="288"/>
    </row>
    <row r="4669" spans="4:11" x14ac:dyDescent="0.2">
      <c r="D4669" s="308"/>
      <c r="E4669" s="291"/>
      <c r="F4669" s="291"/>
      <c r="G4669" s="291"/>
      <c r="H4669" s="287"/>
      <c r="I4669" s="211"/>
      <c r="J4669" s="211"/>
      <c r="K4669" s="288"/>
    </row>
    <row r="4670" spans="4:11" x14ac:dyDescent="0.2">
      <c r="D4670" s="308"/>
      <c r="E4670" s="291"/>
      <c r="F4670" s="291"/>
      <c r="G4670" s="291"/>
      <c r="H4670" s="287"/>
      <c r="I4670" s="211"/>
      <c r="J4670" s="211"/>
      <c r="K4670" s="288"/>
    </row>
    <row r="4671" spans="4:11" x14ac:dyDescent="0.2">
      <c r="D4671" s="308"/>
      <c r="E4671" s="291"/>
      <c r="F4671" s="291"/>
      <c r="G4671" s="291"/>
      <c r="H4671" s="287"/>
      <c r="I4671" s="211"/>
      <c r="J4671" s="211"/>
      <c r="K4671" s="288"/>
    </row>
    <row r="4672" spans="4:11" x14ac:dyDescent="0.2">
      <c r="D4672" s="308"/>
      <c r="E4672" s="291"/>
      <c r="F4672" s="291"/>
      <c r="G4672" s="291"/>
      <c r="H4672" s="287"/>
      <c r="I4672" s="211"/>
      <c r="J4672" s="211"/>
      <c r="K4672" s="288"/>
    </row>
    <row r="4673" spans="4:11" x14ac:dyDescent="0.2">
      <c r="D4673" s="308"/>
      <c r="E4673" s="291"/>
      <c r="F4673" s="291"/>
      <c r="G4673" s="291"/>
      <c r="H4673" s="287"/>
      <c r="I4673" s="211"/>
      <c r="J4673" s="211"/>
      <c r="K4673" s="288"/>
    </row>
    <row r="4674" spans="4:11" x14ac:dyDescent="0.2">
      <c r="D4674" s="308"/>
      <c r="E4674" s="291"/>
      <c r="F4674" s="291"/>
      <c r="G4674" s="291"/>
      <c r="H4674" s="287"/>
      <c r="I4674" s="211"/>
      <c r="J4674" s="211"/>
      <c r="K4674" s="288"/>
    </row>
    <row r="4675" spans="4:11" x14ac:dyDescent="0.2">
      <c r="D4675" s="308"/>
      <c r="E4675" s="291"/>
      <c r="F4675" s="291"/>
      <c r="G4675" s="291"/>
      <c r="H4675" s="287"/>
      <c r="I4675" s="211"/>
      <c r="J4675" s="211"/>
      <c r="K4675" s="288"/>
    </row>
    <row r="4676" spans="4:11" x14ac:dyDescent="0.2">
      <c r="D4676" s="308"/>
      <c r="E4676" s="291"/>
      <c r="F4676" s="291"/>
      <c r="G4676" s="291"/>
      <c r="H4676" s="287"/>
      <c r="I4676" s="211"/>
      <c r="J4676" s="211"/>
      <c r="K4676" s="288"/>
    </row>
    <row r="4677" spans="4:11" x14ac:dyDescent="0.2">
      <c r="D4677" s="308"/>
      <c r="E4677" s="291"/>
      <c r="F4677" s="291"/>
      <c r="G4677" s="291"/>
      <c r="H4677" s="287"/>
      <c r="I4677" s="211"/>
      <c r="J4677" s="211"/>
      <c r="K4677" s="288"/>
    </row>
    <row r="4678" spans="4:11" x14ac:dyDescent="0.2">
      <c r="D4678" s="308"/>
      <c r="E4678" s="291"/>
      <c r="F4678" s="291"/>
      <c r="G4678" s="291"/>
      <c r="H4678" s="287"/>
      <c r="I4678" s="211"/>
      <c r="J4678" s="211"/>
      <c r="K4678" s="288"/>
    </row>
    <row r="4679" spans="4:11" x14ac:dyDescent="0.2">
      <c r="D4679" s="308"/>
      <c r="E4679" s="291"/>
      <c r="F4679" s="291"/>
      <c r="G4679" s="291"/>
      <c r="H4679" s="287"/>
      <c r="I4679" s="211"/>
      <c r="J4679" s="211"/>
      <c r="K4679" s="288"/>
    </row>
    <row r="4680" spans="4:11" x14ac:dyDescent="0.2">
      <c r="D4680" s="308"/>
      <c r="E4680" s="291"/>
      <c r="F4680" s="291"/>
      <c r="G4680" s="291"/>
      <c r="H4680" s="287"/>
      <c r="I4680" s="211"/>
      <c r="J4680" s="211"/>
      <c r="K4680" s="288"/>
    </row>
    <row r="4681" spans="4:11" x14ac:dyDescent="0.2">
      <c r="D4681" s="308"/>
      <c r="E4681" s="291"/>
      <c r="F4681" s="291"/>
      <c r="G4681" s="291"/>
      <c r="H4681" s="287"/>
      <c r="I4681" s="211"/>
      <c r="J4681" s="211"/>
      <c r="K4681" s="288"/>
    </row>
    <row r="4682" spans="4:11" x14ac:dyDescent="0.2">
      <c r="D4682" s="308"/>
      <c r="E4682" s="291"/>
      <c r="F4682" s="291"/>
      <c r="G4682" s="291"/>
      <c r="H4682" s="287"/>
      <c r="I4682" s="211"/>
      <c r="J4682" s="211"/>
      <c r="K4682" s="288"/>
    </row>
    <row r="4683" spans="4:11" x14ac:dyDescent="0.2">
      <c r="D4683" s="308"/>
      <c r="E4683" s="291"/>
      <c r="F4683" s="291"/>
      <c r="G4683" s="291"/>
      <c r="H4683" s="287"/>
      <c r="I4683" s="211"/>
      <c r="J4683" s="211"/>
      <c r="K4683" s="288"/>
    </row>
    <row r="4684" spans="4:11" x14ac:dyDescent="0.2">
      <c r="D4684" s="308"/>
      <c r="E4684" s="291"/>
      <c r="F4684" s="291"/>
      <c r="G4684" s="291"/>
      <c r="H4684" s="287"/>
      <c r="I4684" s="211"/>
      <c r="J4684" s="211"/>
      <c r="K4684" s="288"/>
    </row>
    <row r="4685" spans="4:11" x14ac:dyDescent="0.2">
      <c r="D4685" s="308"/>
      <c r="E4685" s="291"/>
      <c r="F4685" s="291"/>
      <c r="G4685" s="291"/>
      <c r="H4685" s="287"/>
      <c r="I4685" s="211"/>
      <c r="J4685" s="211"/>
      <c r="K4685" s="288"/>
    </row>
    <row r="4686" spans="4:11" x14ac:dyDescent="0.2">
      <c r="D4686" s="308"/>
      <c r="E4686" s="291"/>
      <c r="F4686" s="291"/>
      <c r="G4686" s="291"/>
      <c r="H4686" s="287"/>
      <c r="I4686" s="211"/>
      <c r="J4686" s="211"/>
      <c r="K4686" s="288"/>
    </row>
    <row r="4687" spans="4:11" x14ac:dyDescent="0.2">
      <c r="D4687" s="308"/>
      <c r="E4687" s="291"/>
      <c r="F4687" s="291"/>
      <c r="G4687" s="291"/>
      <c r="H4687" s="287"/>
      <c r="I4687" s="211"/>
      <c r="J4687" s="211"/>
      <c r="K4687" s="288"/>
    </row>
    <row r="4688" spans="4:11" x14ac:dyDescent="0.2">
      <c r="D4688" s="308"/>
      <c r="E4688" s="291"/>
      <c r="F4688" s="291"/>
      <c r="G4688" s="291"/>
      <c r="H4688" s="287"/>
      <c r="I4688" s="211"/>
      <c r="J4688" s="211"/>
      <c r="K4688" s="288"/>
    </row>
    <row r="4689" spans="4:11" x14ac:dyDescent="0.2">
      <c r="D4689" s="308"/>
      <c r="E4689" s="291"/>
      <c r="F4689" s="291"/>
      <c r="G4689" s="291"/>
      <c r="H4689" s="287"/>
      <c r="I4689" s="211"/>
      <c r="J4689" s="211"/>
      <c r="K4689" s="288"/>
    </row>
    <row r="4690" spans="4:11" x14ac:dyDescent="0.2">
      <c r="D4690" s="308"/>
      <c r="E4690" s="291"/>
      <c r="F4690" s="291"/>
      <c r="G4690" s="291"/>
      <c r="H4690" s="287"/>
      <c r="I4690" s="211"/>
      <c r="J4690" s="211"/>
      <c r="K4690" s="288"/>
    </row>
    <row r="4691" spans="4:11" x14ac:dyDescent="0.2">
      <c r="D4691" s="308"/>
      <c r="E4691" s="291"/>
      <c r="F4691" s="291"/>
      <c r="G4691" s="291"/>
      <c r="H4691" s="287"/>
      <c r="I4691" s="211"/>
      <c r="J4691" s="211"/>
      <c r="K4691" s="288"/>
    </row>
    <row r="4692" spans="4:11" x14ac:dyDescent="0.2">
      <c r="D4692" s="308"/>
      <c r="E4692" s="291"/>
      <c r="F4692" s="291"/>
      <c r="G4692" s="291"/>
      <c r="H4692" s="287"/>
      <c r="I4692" s="211"/>
      <c r="J4692" s="211"/>
      <c r="K4692" s="288"/>
    </row>
    <row r="4693" spans="4:11" x14ac:dyDescent="0.2">
      <c r="D4693" s="308"/>
      <c r="E4693" s="291"/>
      <c r="F4693" s="291"/>
      <c r="G4693" s="291"/>
      <c r="H4693" s="287"/>
      <c r="I4693" s="211"/>
      <c r="J4693" s="211"/>
      <c r="K4693" s="288"/>
    </row>
    <row r="4694" spans="4:11" x14ac:dyDescent="0.2">
      <c r="D4694" s="308"/>
      <c r="E4694" s="291"/>
      <c r="F4694" s="291"/>
      <c r="G4694" s="291"/>
      <c r="H4694" s="287"/>
      <c r="I4694" s="211"/>
      <c r="J4694" s="211"/>
      <c r="K4694" s="288"/>
    </row>
    <row r="4695" spans="4:11" x14ac:dyDescent="0.2">
      <c r="D4695" s="308"/>
      <c r="E4695" s="291"/>
      <c r="F4695" s="291"/>
      <c r="G4695" s="291"/>
      <c r="H4695" s="287"/>
      <c r="I4695" s="211"/>
      <c r="J4695" s="211"/>
      <c r="K4695" s="288"/>
    </row>
    <row r="4696" spans="4:11" x14ac:dyDescent="0.2">
      <c r="D4696" s="308"/>
      <c r="E4696" s="291"/>
      <c r="F4696" s="291"/>
      <c r="G4696" s="291"/>
      <c r="H4696" s="287"/>
      <c r="I4696" s="211"/>
      <c r="J4696" s="211"/>
      <c r="K4696" s="288"/>
    </row>
    <row r="4697" spans="4:11" x14ac:dyDescent="0.2">
      <c r="D4697" s="308"/>
      <c r="E4697" s="291"/>
      <c r="F4697" s="291"/>
      <c r="G4697" s="291"/>
      <c r="H4697" s="287"/>
      <c r="I4697" s="211"/>
      <c r="J4697" s="211"/>
      <c r="K4697" s="288"/>
    </row>
    <row r="4698" spans="4:11" x14ac:dyDescent="0.2">
      <c r="D4698" s="308"/>
      <c r="E4698" s="291"/>
      <c r="F4698" s="291"/>
      <c r="G4698" s="291"/>
      <c r="H4698" s="287"/>
      <c r="I4698" s="211"/>
      <c r="J4698" s="211"/>
      <c r="K4698" s="288"/>
    </row>
    <row r="4699" spans="4:11" x14ac:dyDescent="0.2">
      <c r="D4699" s="308"/>
      <c r="E4699" s="291"/>
      <c r="F4699" s="291"/>
      <c r="G4699" s="291"/>
      <c r="H4699" s="287"/>
      <c r="I4699" s="211"/>
      <c r="J4699" s="211"/>
      <c r="K4699" s="288"/>
    </row>
    <row r="4700" spans="4:11" x14ac:dyDescent="0.2">
      <c r="D4700" s="308"/>
      <c r="E4700" s="291"/>
      <c r="F4700" s="291"/>
      <c r="G4700" s="291"/>
      <c r="H4700" s="287"/>
      <c r="I4700" s="211"/>
      <c r="J4700" s="211"/>
      <c r="K4700" s="288"/>
    </row>
    <row r="4701" spans="4:11" x14ac:dyDescent="0.2">
      <c r="D4701" s="308"/>
      <c r="E4701" s="291"/>
      <c r="F4701" s="291"/>
      <c r="G4701" s="291"/>
      <c r="H4701" s="287"/>
      <c r="I4701" s="211"/>
      <c r="J4701" s="211"/>
      <c r="K4701" s="288"/>
    </row>
    <row r="4702" spans="4:11" x14ac:dyDescent="0.2">
      <c r="D4702" s="308"/>
      <c r="E4702" s="291"/>
      <c r="F4702" s="291"/>
      <c r="G4702" s="291"/>
      <c r="H4702" s="287"/>
      <c r="I4702" s="211"/>
      <c r="J4702" s="211"/>
      <c r="K4702" s="288"/>
    </row>
    <row r="4703" spans="4:11" x14ac:dyDescent="0.2">
      <c r="D4703" s="308"/>
      <c r="E4703" s="291"/>
      <c r="F4703" s="291"/>
      <c r="G4703" s="291"/>
      <c r="H4703" s="287"/>
      <c r="I4703" s="211"/>
      <c r="J4703" s="211"/>
      <c r="K4703" s="288"/>
    </row>
    <row r="4704" spans="4:11" x14ac:dyDescent="0.2">
      <c r="D4704" s="308"/>
      <c r="E4704" s="291"/>
      <c r="F4704" s="291"/>
      <c r="G4704" s="291"/>
      <c r="H4704" s="287"/>
      <c r="I4704" s="211"/>
      <c r="J4704" s="211"/>
      <c r="K4704" s="288"/>
    </row>
    <row r="4705" spans="4:11" x14ac:dyDescent="0.2">
      <c r="D4705" s="308"/>
      <c r="E4705" s="291"/>
      <c r="F4705" s="291"/>
      <c r="G4705" s="291"/>
      <c r="H4705" s="287"/>
      <c r="I4705" s="211"/>
      <c r="J4705" s="211"/>
      <c r="K4705" s="288"/>
    </row>
    <row r="4706" spans="4:11" x14ac:dyDescent="0.2">
      <c r="D4706" s="308"/>
      <c r="E4706" s="291"/>
      <c r="F4706" s="291"/>
      <c r="G4706" s="291"/>
      <c r="H4706" s="287"/>
      <c r="I4706" s="211"/>
      <c r="J4706" s="211"/>
      <c r="K4706" s="288"/>
    </row>
    <row r="4707" spans="4:11" x14ac:dyDescent="0.2">
      <c r="D4707" s="308"/>
      <c r="E4707" s="291"/>
      <c r="F4707" s="291"/>
      <c r="G4707" s="291"/>
      <c r="H4707" s="287"/>
      <c r="I4707" s="211"/>
      <c r="J4707" s="211"/>
      <c r="K4707" s="288"/>
    </row>
    <row r="4708" spans="4:11" x14ac:dyDescent="0.2">
      <c r="D4708" s="308"/>
      <c r="E4708" s="291"/>
      <c r="F4708" s="291"/>
      <c r="G4708" s="291"/>
      <c r="H4708" s="287"/>
      <c r="I4708" s="211"/>
      <c r="J4708" s="211"/>
      <c r="K4708" s="288"/>
    </row>
    <row r="4709" spans="4:11" x14ac:dyDescent="0.2">
      <c r="D4709" s="308"/>
      <c r="E4709" s="291"/>
      <c r="F4709" s="291"/>
      <c r="G4709" s="291"/>
      <c r="H4709" s="287"/>
      <c r="I4709" s="211"/>
      <c r="J4709" s="211"/>
      <c r="K4709" s="288"/>
    </row>
    <row r="4710" spans="4:11" x14ac:dyDescent="0.2">
      <c r="D4710" s="308"/>
      <c r="E4710" s="291"/>
      <c r="F4710" s="291"/>
      <c r="G4710" s="291"/>
      <c r="H4710" s="287"/>
      <c r="I4710" s="211"/>
      <c r="J4710" s="211"/>
      <c r="K4710" s="288"/>
    </row>
    <row r="4711" spans="4:11" x14ac:dyDescent="0.2">
      <c r="D4711" s="308"/>
      <c r="E4711" s="291"/>
      <c r="F4711" s="291"/>
      <c r="G4711" s="291"/>
      <c r="H4711" s="287"/>
      <c r="I4711" s="211"/>
      <c r="J4711" s="211"/>
      <c r="K4711" s="288"/>
    </row>
    <row r="4712" spans="4:11" x14ac:dyDescent="0.2">
      <c r="D4712" s="308"/>
      <c r="E4712" s="291"/>
      <c r="F4712" s="291"/>
      <c r="G4712" s="291"/>
      <c r="H4712" s="287"/>
      <c r="I4712" s="211"/>
      <c r="J4712" s="211"/>
      <c r="K4712" s="288"/>
    </row>
    <row r="4713" spans="4:11" x14ac:dyDescent="0.2">
      <c r="D4713" s="308"/>
      <c r="E4713" s="291"/>
      <c r="F4713" s="291"/>
      <c r="G4713" s="291"/>
      <c r="H4713" s="287"/>
      <c r="I4713" s="211"/>
      <c r="J4713" s="211"/>
      <c r="K4713" s="288"/>
    </row>
    <row r="4714" spans="4:11" x14ac:dyDescent="0.2">
      <c r="D4714" s="308"/>
      <c r="E4714" s="291"/>
      <c r="F4714" s="291"/>
      <c r="G4714" s="291"/>
      <c r="H4714" s="287"/>
      <c r="I4714" s="211"/>
      <c r="J4714" s="211"/>
      <c r="K4714" s="288"/>
    </row>
    <row r="4715" spans="4:11" x14ac:dyDescent="0.2">
      <c r="D4715" s="308"/>
      <c r="E4715" s="291"/>
      <c r="F4715" s="291"/>
      <c r="G4715" s="291"/>
      <c r="H4715" s="287"/>
      <c r="I4715" s="211"/>
      <c r="J4715" s="211"/>
      <c r="K4715" s="288"/>
    </row>
    <row r="4716" spans="4:11" x14ac:dyDescent="0.2">
      <c r="D4716" s="308"/>
      <c r="E4716" s="291"/>
      <c r="F4716" s="291"/>
      <c r="G4716" s="291"/>
      <c r="H4716" s="287"/>
      <c r="I4716" s="211"/>
      <c r="J4716" s="211"/>
      <c r="K4716" s="288"/>
    </row>
    <row r="4717" spans="4:11" x14ac:dyDescent="0.2">
      <c r="D4717" s="308"/>
      <c r="E4717" s="291"/>
      <c r="F4717" s="291"/>
      <c r="G4717" s="291"/>
      <c r="H4717" s="287"/>
      <c r="I4717" s="211"/>
      <c r="J4717" s="211"/>
      <c r="K4717" s="288"/>
    </row>
    <row r="4718" spans="4:11" x14ac:dyDescent="0.2">
      <c r="D4718" s="308"/>
      <c r="E4718" s="291"/>
      <c r="F4718" s="291"/>
      <c r="G4718" s="291"/>
      <c r="H4718" s="287"/>
      <c r="I4718" s="211"/>
      <c r="J4718" s="211"/>
      <c r="K4718" s="288"/>
    </row>
    <row r="4719" spans="4:11" x14ac:dyDescent="0.2">
      <c r="D4719" s="308"/>
      <c r="E4719" s="291"/>
      <c r="F4719" s="291"/>
      <c r="G4719" s="291"/>
      <c r="H4719" s="287"/>
      <c r="I4719" s="211"/>
      <c r="J4719" s="211"/>
      <c r="K4719" s="288"/>
    </row>
    <row r="4720" spans="4:11" x14ac:dyDescent="0.2">
      <c r="D4720" s="308"/>
      <c r="E4720" s="291"/>
      <c r="F4720" s="291"/>
      <c r="G4720" s="291"/>
      <c r="H4720" s="287"/>
      <c r="I4720" s="211"/>
      <c r="J4720" s="211"/>
      <c r="K4720" s="288"/>
    </row>
    <row r="4721" spans="4:11" x14ac:dyDescent="0.2">
      <c r="D4721" s="308"/>
      <c r="E4721" s="291"/>
      <c r="F4721" s="291"/>
      <c r="G4721" s="291"/>
      <c r="H4721" s="287"/>
      <c r="I4721" s="211"/>
      <c r="J4721" s="211"/>
      <c r="K4721" s="288"/>
    </row>
    <row r="4722" spans="4:11" x14ac:dyDescent="0.2">
      <c r="D4722" s="308"/>
      <c r="E4722" s="291"/>
      <c r="F4722" s="291"/>
      <c r="G4722" s="291"/>
      <c r="H4722" s="287"/>
      <c r="I4722" s="211"/>
      <c r="J4722" s="211"/>
      <c r="K4722" s="288"/>
    </row>
    <row r="4723" spans="4:11" x14ac:dyDescent="0.2">
      <c r="D4723" s="308"/>
      <c r="E4723" s="291"/>
      <c r="F4723" s="291"/>
      <c r="G4723" s="291"/>
      <c r="H4723" s="287"/>
      <c r="I4723" s="211"/>
      <c r="J4723" s="211"/>
      <c r="K4723" s="288"/>
    </row>
    <row r="4724" spans="4:11" x14ac:dyDescent="0.2">
      <c r="D4724" s="308"/>
      <c r="E4724" s="291"/>
      <c r="F4724" s="291"/>
      <c r="G4724" s="291"/>
      <c r="H4724" s="287"/>
      <c r="I4724" s="211"/>
      <c r="J4724" s="211"/>
      <c r="K4724" s="288"/>
    </row>
    <row r="4725" spans="4:11" x14ac:dyDescent="0.2">
      <c r="D4725" s="308"/>
      <c r="E4725" s="291"/>
      <c r="F4725" s="291"/>
      <c r="G4725" s="291"/>
      <c r="H4725" s="287"/>
      <c r="I4725" s="211"/>
      <c r="J4725" s="211"/>
      <c r="K4725" s="288"/>
    </row>
    <row r="4726" spans="4:11" x14ac:dyDescent="0.2">
      <c r="D4726" s="308"/>
      <c r="E4726" s="291"/>
      <c r="F4726" s="291"/>
      <c r="G4726" s="291"/>
      <c r="H4726" s="287"/>
      <c r="I4726" s="211"/>
      <c r="J4726" s="211"/>
      <c r="K4726" s="288"/>
    </row>
    <row r="4727" spans="4:11" x14ac:dyDescent="0.2">
      <c r="D4727" s="308"/>
      <c r="E4727" s="291"/>
      <c r="F4727" s="291"/>
      <c r="G4727" s="291"/>
      <c r="H4727" s="287"/>
      <c r="I4727" s="211"/>
      <c r="J4727" s="211"/>
      <c r="K4727" s="288"/>
    </row>
    <row r="4728" spans="4:11" x14ac:dyDescent="0.2">
      <c r="D4728" s="308"/>
      <c r="E4728" s="291"/>
      <c r="F4728" s="291"/>
      <c r="G4728" s="291"/>
      <c r="H4728" s="287"/>
      <c r="I4728" s="211"/>
      <c r="J4728" s="211"/>
      <c r="K4728" s="288"/>
    </row>
    <row r="4729" spans="4:11" x14ac:dyDescent="0.2">
      <c r="D4729" s="308"/>
      <c r="E4729" s="291"/>
      <c r="F4729" s="291"/>
      <c r="G4729" s="291"/>
      <c r="H4729" s="287"/>
      <c r="I4729" s="211"/>
      <c r="J4729" s="211"/>
      <c r="K4729" s="288"/>
    </row>
    <row r="4730" spans="4:11" x14ac:dyDescent="0.2">
      <c r="D4730" s="308"/>
      <c r="E4730" s="291"/>
      <c r="F4730" s="291"/>
      <c r="G4730" s="291"/>
      <c r="H4730" s="287"/>
      <c r="I4730" s="211"/>
      <c r="J4730" s="211"/>
      <c r="K4730" s="288"/>
    </row>
    <row r="4731" spans="4:11" x14ac:dyDescent="0.2">
      <c r="D4731" s="308"/>
      <c r="E4731" s="291"/>
      <c r="F4731" s="291"/>
      <c r="G4731" s="291"/>
      <c r="H4731" s="287"/>
      <c r="I4731" s="211"/>
      <c r="J4731" s="211"/>
      <c r="K4731" s="288"/>
    </row>
    <row r="4732" spans="4:11" x14ac:dyDescent="0.2">
      <c r="D4732" s="308"/>
      <c r="E4732" s="291"/>
      <c r="F4732" s="291"/>
      <c r="G4732" s="291"/>
      <c r="H4732" s="287"/>
      <c r="I4732" s="211"/>
      <c r="J4732" s="211"/>
      <c r="K4732" s="288"/>
    </row>
    <row r="4733" spans="4:11" x14ac:dyDescent="0.2">
      <c r="D4733" s="308"/>
      <c r="E4733" s="291"/>
      <c r="F4733" s="291"/>
      <c r="G4733" s="291"/>
      <c r="H4733" s="287"/>
      <c r="I4733" s="211"/>
      <c r="J4733" s="211"/>
      <c r="K4733" s="288"/>
    </row>
    <row r="4734" spans="4:11" x14ac:dyDescent="0.2">
      <c r="D4734" s="308"/>
      <c r="E4734" s="291"/>
      <c r="F4734" s="291"/>
      <c r="G4734" s="291"/>
      <c r="H4734" s="287"/>
      <c r="I4734" s="211"/>
      <c r="J4734" s="211"/>
      <c r="K4734" s="288"/>
    </row>
    <row r="4735" spans="4:11" x14ac:dyDescent="0.2">
      <c r="D4735" s="308"/>
      <c r="E4735" s="291"/>
      <c r="F4735" s="291"/>
      <c r="G4735" s="291"/>
      <c r="H4735" s="287"/>
      <c r="I4735" s="211"/>
      <c r="J4735" s="211"/>
      <c r="K4735" s="288"/>
    </row>
    <row r="4736" spans="4:11" x14ac:dyDescent="0.2">
      <c r="D4736" s="308"/>
      <c r="E4736" s="291"/>
      <c r="F4736" s="291"/>
      <c r="G4736" s="291"/>
      <c r="H4736" s="287"/>
      <c r="I4736" s="211"/>
      <c r="J4736" s="211"/>
      <c r="K4736" s="288"/>
    </row>
    <row r="4737" spans="4:11" x14ac:dyDescent="0.2">
      <c r="D4737" s="308"/>
      <c r="E4737" s="291"/>
      <c r="F4737" s="291"/>
      <c r="G4737" s="291"/>
      <c r="H4737" s="287"/>
      <c r="I4737" s="211"/>
      <c r="J4737" s="211"/>
      <c r="K4737" s="288"/>
    </row>
    <row r="4738" spans="4:11" x14ac:dyDescent="0.2">
      <c r="D4738" s="308"/>
      <c r="E4738" s="291"/>
      <c r="F4738" s="291"/>
      <c r="G4738" s="291"/>
      <c r="H4738" s="287"/>
      <c r="I4738" s="211"/>
      <c r="J4738" s="211"/>
      <c r="K4738" s="288"/>
    </row>
    <row r="4739" spans="4:11" x14ac:dyDescent="0.2">
      <c r="D4739" s="308"/>
      <c r="E4739" s="291"/>
      <c r="F4739" s="291"/>
      <c r="G4739" s="291"/>
      <c r="H4739" s="287"/>
      <c r="I4739" s="211"/>
      <c r="J4739" s="211"/>
      <c r="K4739" s="288"/>
    </row>
    <row r="4740" spans="4:11" x14ac:dyDescent="0.2">
      <c r="D4740" s="308"/>
      <c r="E4740" s="291"/>
      <c r="F4740" s="291"/>
      <c r="G4740" s="291"/>
      <c r="H4740" s="287"/>
      <c r="I4740" s="211"/>
      <c r="J4740" s="211"/>
      <c r="K4740" s="288"/>
    </row>
    <row r="4741" spans="4:11" x14ac:dyDescent="0.2">
      <c r="D4741" s="308"/>
      <c r="E4741" s="291"/>
      <c r="F4741" s="291"/>
      <c r="G4741" s="291"/>
      <c r="H4741" s="287"/>
      <c r="I4741" s="211"/>
      <c r="J4741" s="211"/>
      <c r="K4741" s="288"/>
    </row>
    <row r="4742" spans="4:11" x14ac:dyDescent="0.2">
      <c r="D4742" s="308"/>
      <c r="E4742" s="291"/>
      <c r="F4742" s="291"/>
      <c r="G4742" s="291"/>
      <c r="H4742" s="287"/>
      <c r="I4742" s="211"/>
      <c r="J4742" s="211"/>
      <c r="K4742" s="288"/>
    </row>
    <row r="4743" spans="4:11" x14ac:dyDescent="0.2">
      <c r="D4743" s="308"/>
      <c r="E4743" s="291"/>
      <c r="F4743" s="291"/>
      <c r="G4743" s="291"/>
      <c r="H4743" s="287"/>
      <c r="I4743" s="211"/>
      <c r="J4743" s="211"/>
      <c r="K4743" s="288"/>
    </row>
    <row r="4744" spans="4:11" x14ac:dyDescent="0.2">
      <c r="D4744" s="308"/>
      <c r="E4744" s="291"/>
      <c r="F4744" s="291"/>
      <c r="G4744" s="291"/>
      <c r="H4744" s="287"/>
      <c r="I4744" s="211"/>
      <c r="J4744" s="211"/>
      <c r="K4744" s="288"/>
    </row>
    <row r="4745" spans="4:11" x14ac:dyDescent="0.2">
      <c r="D4745" s="308"/>
      <c r="E4745" s="291"/>
      <c r="F4745" s="291"/>
      <c r="G4745" s="291"/>
      <c r="H4745" s="287"/>
      <c r="I4745" s="211"/>
      <c r="J4745" s="211"/>
      <c r="K4745" s="288"/>
    </row>
    <row r="4746" spans="4:11" x14ac:dyDescent="0.2">
      <c r="D4746" s="308"/>
      <c r="E4746" s="291"/>
      <c r="F4746" s="291"/>
      <c r="G4746" s="291"/>
      <c r="H4746" s="287"/>
      <c r="I4746" s="211"/>
      <c r="J4746" s="211"/>
      <c r="K4746" s="288"/>
    </row>
    <row r="4747" spans="4:11" x14ac:dyDescent="0.2">
      <c r="D4747" s="308"/>
      <c r="E4747" s="291"/>
      <c r="F4747" s="291"/>
      <c r="G4747" s="291"/>
      <c r="H4747" s="287"/>
      <c r="I4747" s="211"/>
      <c r="J4747" s="211"/>
      <c r="K4747" s="288"/>
    </row>
    <row r="4748" spans="4:11" x14ac:dyDescent="0.2">
      <c r="D4748" s="308"/>
      <c r="E4748" s="291"/>
      <c r="F4748" s="291"/>
      <c r="G4748" s="291"/>
      <c r="H4748" s="287"/>
      <c r="I4748" s="211"/>
      <c r="J4748" s="211"/>
      <c r="K4748" s="288"/>
    </row>
    <row r="4749" spans="4:11" x14ac:dyDescent="0.2">
      <c r="D4749" s="308"/>
      <c r="E4749" s="291"/>
      <c r="F4749" s="291"/>
      <c r="G4749" s="291"/>
      <c r="H4749" s="287"/>
      <c r="I4749" s="211"/>
      <c r="J4749" s="211"/>
      <c r="K4749" s="288"/>
    </row>
    <row r="4750" spans="4:11" x14ac:dyDescent="0.2">
      <c r="D4750" s="308"/>
      <c r="E4750" s="291"/>
      <c r="F4750" s="291"/>
      <c r="G4750" s="291"/>
      <c r="H4750" s="287"/>
      <c r="I4750" s="211"/>
      <c r="J4750" s="211"/>
      <c r="K4750" s="288"/>
    </row>
    <row r="4751" spans="4:11" x14ac:dyDescent="0.2">
      <c r="D4751" s="308"/>
      <c r="E4751" s="291"/>
      <c r="F4751" s="291"/>
      <c r="G4751" s="291"/>
      <c r="H4751" s="287"/>
      <c r="I4751" s="211"/>
      <c r="J4751" s="211"/>
      <c r="K4751" s="288"/>
    </row>
    <row r="4752" spans="4:11" x14ac:dyDescent="0.2">
      <c r="D4752" s="308"/>
      <c r="E4752" s="291"/>
      <c r="F4752" s="291"/>
      <c r="G4752" s="291"/>
      <c r="H4752" s="287"/>
      <c r="I4752" s="211"/>
      <c r="J4752" s="211"/>
      <c r="K4752" s="288"/>
    </row>
    <row r="4753" spans="4:11" x14ac:dyDescent="0.2">
      <c r="D4753" s="308"/>
      <c r="E4753" s="291"/>
      <c r="F4753" s="291"/>
      <c r="G4753" s="291"/>
      <c r="H4753" s="287"/>
      <c r="I4753" s="211"/>
      <c r="J4753" s="211"/>
      <c r="K4753" s="288"/>
    </row>
    <row r="4754" spans="4:11" x14ac:dyDescent="0.2">
      <c r="D4754" s="308"/>
      <c r="E4754" s="291"/>
      <c r="F4754" s="291"/>
      <c r="G4754" s="291"/>
      <c r="H4754" s="287"/>
      <c r="I4754" s="211"/>
      <c r="J4754" s="211"/>
      <c r="K4754" s="288"/>
    </row>
    <row r="4755" spans="4:11" x14ac:dyDescent="0.2">
      <c r="D4755" s="308"/>
      <c r="E4755" s="291"/>
      <c r="F4755" s="291"/>
      <c r="G4755" s="291"/>
      <c r="H4755" s="287"/>
      <c r="I4755" s="211"/>
      <c r="J4755" s="211"/>
      <c r="K4755" s="288"/>
    </row>
    <row r="4756" spans="4:11" x14ac:dyDescent="0.2">
      <c r="D4756" s="308"/>
      <c r="E4756" s="291"/>
      <c r="F4756" s="291"/>
      <c r="G4756" s="291"/>
      <c r="H4756" s="287"/>
      <c r="I4756" s="211"/>
      <c r="J4756" s="211"/>
      <c r="K4756" s="288"/>
    </row>
    <row r="4757" spans="4:11" x14ac:dyDescent="0.2">
      <c r="D4757" s="308"/>
      <c r="E4757" s="291"/>
      <c r="F4757" s="291"/>
      <c r="G4757" s="291"/>
      <c r="H4757" s="287"/>
      <c r="I4757" s="211"/>
      <c r="J4757" s="211"/>
      <c r="K4757" s="288"/>
    </row>
    <row r="4758" spans="4:11" x14ac:dyDescent="0.2">
      <c r="D4758" s="308"/>
      <c r="E4758" s="291"/>
      <c r="F4758" s="291"/>
      <c r="G4758" s="291"/>
      <c r="H4758" s="287"/>
      <c r="I4758" s="211"/>
      <c r="J4758" s="211"/>
      <c r="K4758" s="288"/>
    </row>
    <row r="4759" spans="4:11" x14ac:dyDescent="0.2">
      <c r="D4759" s="308"/>
      <c r="E4759" s="291"/>
      <c r="F4759" s="291"/>
      <c r="G4759" s="291"/>
      <c r="H4759" s="287"/>
      <c r="I4759" s="211"/>
      <c r="J4759" s="211"/>
      <c r="K4759" s="288"/>
    </row>
    <row r="4760" spans="4:11" x14ac:dyDescent="0.2">
      <c r="D4760" s="308"/>
      <c r="E4760" s="291"/>
      <c r="F4760" s="291"/>
      <c r="G4760" s="291"/>
      <c r="H4760" s="287"/>
      <c r="I4760" s="211"/>
      <c r="J4760" s="211"/>
      <c r="K4760" s="288"/>
    </row>
    <row r="4761" spans="4:11" x14ac:dyDescent="0.2">
      <c r="D4761" s="308"/>
      <c r="E4761" s="291"/>
      <c r="F4761" s="291"/>
      <c r="G4761" s="291"/>
      <c r="H4761" s="287"/>
      <c r="I4761" s="211"/>
      <c r="J4761" s="211"/>
      <c r="K4761" s="288"/>
    </row>
    <row r="4762" spans="4:11" x14ac:dyDescent="0.2">
      <c r="D4762" s="308"/>
      <c r="E4762" s="291"/>
      <c r="F4762" s="291"/>
      <c r="G4762" s="291"/>
      <c r="H4762" s="287"/>
      <c r="I4762" s="211"/>
      <c r="J4762" s="211"/>
      <c r="K4762" s="288"/>
    </row>
    <row r="4763" spans="4:11" x14ac:dyDescent="0.2">
      <c r="D4763" s="308"/>
      <c r="E4763" s="291"/>
      <c r="F4763" s="291"/>
      <c r="G4763" s="291"/>
      <c r="H4763" s="287"/>
      <c r="I4763" s="211"/>
      <c r="J4763" s="211"/>
      <c r="K4763" s="288"/>
    </row>
    <row r="4764" spans="4:11" x14ac:dyDescent="0.2">
      <c r="D4764" s="308"/>
      <c r="E4764" s="291"/>
      <c r="F4764" s="291"/>
      <c r="G4764" s="291"/>
      <c r="H4764" s="287"/>
      <c r="I4764" s="211"/>
      <c r="J4764" s="211"/>
      <c r="K4764" s="288"/>
    </row>
    <row r="4765" spans="4:11" x14ac:dyDescent="0.2">
      <c r="D4765" s="308"/>
      <c r="E4765" s="291"/>
      <c r="F4765" s="291"/>
      <c r="G4765" s="291"/>
      <c r="H4765" s="287"/>
      <c r="I4765" s="211"/>
      <c r="J4765" s="211"/>
      <c r="K4765" s="288"/>
    </row>
    <row r="4766" spans="4:11" x14ac:dyDescent="0.2">
      <c r="D4766" s="308"/>
      <c r="E4766" s="291"/>
      <c r="F4766" s="291"/>
      <c r="G4766" s="291"/>
      <c r="H4766" s="287"/>
      <c r="I4766" s="211"/>
      <c r="J4766" s="211"/>
      <c r="K4766" s="288"/>
    </row>
    <row r="4767" spans="4:11" x14ac:dyDescent="0.2">
      <c r="D4767" s="308"/>
      <c r="E4767" s="291"/>
      <c r="F4767" s="291"/>
      <c r="G4767" s="291"/>
      <c r="H4767" s="287"/>
      <c r="I4767" s="211"/>
      <c r="J4767" s="211"/>
      <c r="K4767" s="288"/>
    </row>
    <row r="4768" spans="4:11" x14ac:dyDescent="0.2">
      <c r="D4768" s="308"/>
      <c r="E4768" s="291"/>
      <c r="F4768" s="291"/>
      <c r="G4768" s="291"/>
      <c r="H4768" s="287"/>
      <c r="I4768" s="211"/>
      <c r="J4768" s="211"/>
      <c r="K4768" s="288"/>
    </row>
    <row r="4769" spans="4:11" x14ac:dyDescent="0.2">
      <c r="D4769" s="308"/>
      <c r="E4769" s="291"/>
      <c r="F4769" s="291"/>
      <c r="G4769" s="291"/>
      <c r="H4769" s="287"/>
      <c r="I4769" s="211"/>
      <c r="J4769" s="211"/>
      <c r="K4769" s="288"/>
    </row>
    <row r="4770" spans="4:11" x14ac:dyDescent="0.2">
      <c r="D4770" s="308"/>
      <c r="E4770" s="291"/>
      <c r="F4770" s="291"/>
      <c r="G4770" s="291"/>
      <c r="H4770" s="287"/>
      <c r="I4770" s="211"/>
      <c r="J4770" s="211"/>
      <c r="K4770" s="288"/>
    </row>
    <row r="4771" spans="4:11" x14ac:dyDescent="0.2">
      <c r="D4771" s="308"/>
      <c r="E4771" s="291"/>
      <c r="F4771" s="291"/>
      <c r="G4771" s="291"/>
      <c r="H4771" s="287"/>
      <c r="I4771" s="211"/>
      <c r="J4771" s="211"/>
      <c r="K4771" s="288"/>
    </row>
    <row r="4772" spans="4:11" x14ac:dyDescent="0.2">
      <c r="D4772" s="308"/>
      <c r="E4772" s="291"/>
      <c r="F4772" s="291"/>
      <c r="G4772" s="291"/>
      <c r="H4772" s="287"/>
      <c r="I4772" s="211"/>
      <c r="J4772" s="211"/>
      <c r="K4772" s="288"/>
    </row>
    <row r="4773" spans="4:11" x14ac:dyDescent="0.2">
      <c r="D4773" s="308"/>
      <c r="E4773" s="291"/>
      <c r="F4773" s="291"/>
      <c r="G4773" s="291"/>
      <c r="H4773" s="287"/>
      <c r="I4773" s="211"/>
      <c r="J4773" s="211"/>
      <c r="K4773" s="288"/>
    </row>
    <row r="4774" spans="4:11" x14ac:dyDescent="0.2">
      <c r="D4774" s="308"/>
      <c r="E4774" s="291"/>
      <c r="F4774" s="291"/>
      <c r="G4774" s="291"/>
      <c r="H4774" s="287"/>
      <c r="I4774" s="211"/>
      <c r="J4774" s="211"/>
      <c r="K4774" s="288"/>
    </row>
    <row r="4775" spans="4:11" x14ac:dyDescent="0.2">
      <c r="D4775" s="308"/>
      <c r="E4775" s="291"/>
      <c r="F4775" s="291"/>
      <c r="G4775" s="291"/>
      <c r="H4775" s="287"/>
      <c r="I4775" s="211"/>
      <c r="J4775" s="211"/>
      <c r="K4775" s="288"/>
    </row>
    <row r="4776" spans="4:11" x14ac:dyDescent="0.2">
      <c r="D4776" s="308"/>
      <c r="E4776" s="291"/>
      <c r="F4776" s="291"/>
      <c r="G4776" s="291"/>
      <c r="H4776" s="287"/>
      <c r="I4776" s="211"/>
      <c r="J4776" s="211"/>
      <c r="K4776" s="288"/>
    </row>
    <row r="4777" spans="4:11" x14ac:dyDescent="0.2">
      <c r="D4777" s="308"/>
      <c r="E4777" s="291"/>
      <c r="F4777" s="291"/>
      <c r="G4777" s="291"/>
      <c r="H4777" s="287"/>
      <c r="I4777" s="211"/>
      <c r="J4777" s="211"/>
      <c r="K4777" s="288"/>
    </row>
    <row r="4778" spans="4:11" x14ac:dyDescent="0.2">
      <c r="D4778" s="308"/>
      <c r="E4778" s="291"/>
      <c r="F4778" s="291"/>
      <c r="G4778" s="291"/>
      <c r="H4778" s="287"/>
      <c r="I4778" s="211"/>
      <c r="J4778" s="211"/>
      <c r="K4778" s="288"/>
    </row>
    <row r="4779" spans="4:11" x14ac:dyDescent="0.2">
      <c r="D4779" s="308"/>
      <c r="E4779" s="291"/>
      <c r="F4779" s="291"/>
      <c r="G4779" s="291"/>
      <c r="H4779" s="287"/>
      <c r="I4779" s="211"/>
      <c r="J4779" s="211"/>
      <c r="K4779" s="288"/>
    </row>
    <row r="4780" spans="4:11" x14ac:dyDescent="0.2">
      <c r="D4780" s="308"/>
      <c r="E4780" s="291"/>
      <c r="F4780" s="291"/>
      <c r="G4780" s="291"/>
      <c r="H4780" s="287"/>
      <c r="I4780" s="211"/>
      <c r="J4780" s="211"/>
      <c r="K4780" s="288"/>
    </row>
    <row r="4781" spans="4:11" x14ac:dyDescent="0.2">
      <c r="D4781" s="308"/>
      <c r="E4781" s="291"/>
      <c r="F4781" s="291"/>
      <c r="G4781" s="291"/>
      <c r="H4781" s="287"/>
      <c r="I4781" s="211"/>
      <c r="J4781" s="211"/>
      <c r="K4781" s="288"/>
    </row>
    <row r="4782" spans="4:11" x14ac:dyDescent="0.2">
      <c r="D4782" s="308"/>
      <c r="E4782" s="291"/>
      <c r="F4782" s="291"/>
      <c r="G4782" s="291"/>
      <c r="H4782" s="287"/>
      <c r="I4782" s="211"/>
      <c r="J4782" s="211"/>
      <c r="K4782" s="288"/>
    </row>
    <row r="4783" spans="4:11" x14ac:dyDescent="0.2">
      <c r="D4783" s="308"/>
      <c r="E4783" s="291"/>
      <c r="F4783" s="291"/>
      <c r="G4783" s="291"/>
      <c r="H4783" s="287"/>
      <c r="I4783" s="211"/>
      <c r="J4783" s="211"/>
      <c r="K4783" s="288"/>
    </row>
    <row r="4784" spans="4:11" x14ac:dyDescent="0.2">
      <c r="D4784" s="308"/>
      <c r="E4784" s="291"/>
      <c r="F4784" s="291"/>
      <c r="G4784" s="291"/>
      <c r="H4784" s="287"/>
      <c r="I4784" s="211"/>
      <c r="J4784" s="211"/>
      <c r="K4784" s="288"/>
    </row>
    <row r="4785" spans="4:11" x14ac:dyDescent="0.2">
      <c r="D4785" s="308"/>
      <c r="E4785" s="291"/>
      <c r="F4785" s="291"/>
      <c r="G4785" s="291"/>
      <c r="H4785" s="287"/>
      <c r="I4785" s="211"/>
      <c r="J4785" s="211"/>
      <c r="K4785" s="288"/>
    </row>
    <row r="4786" spans="4:11" x14ac:dyDescent="0.2">
      <c r="D4786" s="308"/>
      <c r="E4786" s="291"/>
      <c r="F4786" s="291"/>
      <c r="G4786" s="291"/>
      <c r="H4786" s="287"/>
      <c r="I4786" s="211"/>
      <c r="J4786" s="211"/>
      <c r="K4786" s="288"/>
    </row>
    <row r="4787" spans="4:11" x14ac:dyDescent="0.2">
      <c r="D4787" s="308"/>
      <c r="E4787" s="291"/>
      <c r="F4787" s="291"/>
      <c r="G4787" s="291"/>
      <c r="H4787" s="287"/>
      <c r="I4787" s="211"/>
      <c r="J4787" s="211"/>
      <c r="K4787" s="288"/>
    </row>
    <row r="4788" spans="4:11" x14ac:dyDescent="0.2">
      <c r="D4788" s="308"/>
      <c r="E4788" s="291"/>
      <c r="F4788" s="291"/>
      <c r="G4788" s="291"/>
      <c r="H4788" s="287"/>
      <c r="I4788" s="211"/>
      <c r="J4788" s="211"/>
      <c r="K4788" s="288"/>
    </row>
    <row r="4789" spans="4:11" x14ac:dyDescent="0.2">
      <c r="D4789" s="308"/>
      <c r="E4789" s="291"/>
      <c r="F4789" s="291"/>
      <c r="G4789" s="291"/>
      <c r="H4789" s="287"/>
      <c r="I4789" s="211"/>
      <c r="J4789" s="211"/>
      <c r="K4789" s="288"/>
    </row>
    <row r="4790" spans="4:11" x14ac:dyDescent="0.2">
      <c r="D4790" s="308"/>
      <c r="E4790" s="291"/>
      <c r="F4790" s="291"/>
      <c r="G4790" s="291"/>
      <c r="H4790" s="287"/>
      <c r="I4790" s="211"/>
      <c r="J4790" s="211"/>
      <c r="K4790" s="288"/>
    </row>
    <row r="4791" spans="4:11" x14ac:dyDescent="0.2">
      <c r="D4791" s="308"/>
      <c r="E4791" s="291"/>
      <c r="F4791" s="291"/>
      <c r="G4791" s="291"/>
      <c r="H4791" s="287"/>
      <c r="I4791" s="211"/>
      <c r="J4791" s="211"/>
      <c r="K4791" s="288"/>
    </row>
    <row r="4792" spans="4:11" x14ac:dyDescent="0.2">
      <c r="D4792" s="308"/>
      <c r="E4792" s="291"/>
      <c r="F4792" s="291"/>
      <c r="G4792" s="291"/>
      <c r="H4792" s="287"/>
      <c r="I4792" s="211"/>
      <c r="J4792" s="211"/>
      <c r="K4792" s="288"/>
    </row>
    <row r="4793" spans="4:11" x14ac:dyDescent="0.2">
      <c r="D4793" s="308"/>
      <c r="E4793" s="291"/>
      <c r="F4793" s="291"/>
      <c r="G4793" s="291"/>
      <c r="H4793" s="287"/>
      <c r="I4793" s="211"/>
      <c r="J4793" s="211"/>
      <c r="K4793" s="288"/>
    </row>
    <row r="4794" spans="4:11" x14ac:dyDescent="0.2">
      <c r="D4794" s="308"/>
      <c r="E4794" s="291"/>
      <c r="F4794" s="291"/>
      <c r="G4794" s="291"/>
      <c r="H4794" s="287"/>
      <c r="I4794" s="211"/>
      <c r="J4794" s="211"/>
      <c r="K4794" s="288"/>
    </row>
    <row r="4795" spans="4:11" x14ac:dyDescent="0.2">
      <c r="D4795" s="308"/>
      <c r="E4795" s="291"/>
      <c r="F4795" s="291"/>
      <c r="G4795" s="291"/>
      <c r="H4795" s="287"/>
      <c r="I4795" s="211"/>
      <c r="J4795" s="211"/>
      <c r="K4795" s="288"/>
    </row>
    <row r="4796" spans="4:11" x14ac:dyDescent="0.2">
      <c r="D4796" s="308"/>
      <c r="E4796" s="291"/>
      <c r="F4796" s="291"/>
      <c r="G4796" s="291"/>
      <c r="H4796" s="287"/>
      <c r="I4796" s="211"/>
      <c r="J4796" s="211"/>
      <c r="K4796" s="288"/>
    </row>
    <row r="4797" spans="4:11" x14ac:dyDescent="0.2">
      <c r="D4797" s="308"/>
      <c r="E4797" s="291"/>
      <c r="F4797" s="291"/>
      <c r="G4797" s="291"/>
      <c r="H4797" s="287"/>
      <c r="I4797" s="211"/>
      <c r="J4797" s="211"/>
      <c r="K4797" s="288"/>
    </row>
    <row r="4798" spans="4:11" x14ac:dyDescent="0.2">
      <c r="D4798" s="308"/>
      <c r="E4798" s="291"/>
      <c r="F4798" s="291"/>
      <c r="G4798" s="291"/>
      <c r="H4798" s="287"/>
      <c r="I4798" s="211"/>
      <c r="J4798" s="211"/>
      <c r="K4798" s="288"/>
    </row>
    <row r="4799" spans="4:11" x14ac:dyDescent="0.2">
      <c r="D4799" s="308"/>
      <c r="E4799" s="291"/>
      <c r="F4799" s="291"/>
      <c r="G4799" s="291"/>
      <c r="H4799" s="287"/>
      <c r="I4799" s="211"/>
      <c r="J4799" s="211"/>
      <c r="K4799" s="288"/>
    </row>
    <row r="4800" spans="4:11" x14ac:dyDescent="0.2">
      <c r="D4800" s="308"/>
      <c r="E4800" s="291"/>
      <c r="F4800" s="291"/>
      <c r="G4800" s="291"/>
      <c r="H4800" s="287"/>
      <c r="I4800" s="211"/>
      <c r="J4800" s="211"/>
      <c r="K4800" s="288"/>
    </row>
    <row r="4801" spans="4:11" x14ac:dyDescent="0.2">
      <c r="D4801" s="308"/>
      <c r="E4801" s="291"/>
      <c r="F4801" s="291"/>
      <c r="G4801" s="291"/>
      <c r="H4801" s="287"/>
      <c r="I4801" s="211"/>
      <c r="J4801" s="211"/>
      <c r="K4801" s="288"/>
    </row>
    <row r="4802" spans="4:11" x14ac:dyDescent="0.2">
      <c r="D4802" s="308"/>
      <c r="E4802" s="291"/>
      <c r="F4802" s="291"/>
      <c r="G4802" s="291"/>
      <c r="H4802" s="287"/>
      <c r="I4802" s="211"/>
      <c r="J4802" s="211"/>
      <c r="K4802" s="288"/>
    </row>
    <row r="4803" spans="4:11" x14ac:dyDescent="0.2">
      <c r="D4803" s="308"/>
      <c r="E4803" s="291"/>
      <c r="F4803" s="291"/>
      <c r="G4803" s="291"/>
      <c r="H4803" s="287"/>
      <c r="I4803" s="211"/>
      <c r="J4803" s="211"/>
      <c r="K4803" s="288"/>
    </row>
    <row r="4804" spans="4:11" x14ac:dyDescent="0.2">
      <c r="D4804" s="308"/>
      <c r="E4804" s="291"/>
      <c r="F4804" s="291"/>
      <c r="G4804" s="291"/>
      <c r="H4804" s="287"/>
      <c r="I4804" s="211"/>
      <c r="J4804" s="211"/>
      <c r="K4804" s="288"/>
    </row>
    <row r="4805" spans="4:11" x14ac:dyDescent="0.2">
      <c r="D4805" s="308"/>
      <c r="E4805" s="291"/>
      <c r="F4805" s="291"/>
      <c r="G4805" s="291"/>
      <c r="H4805" s="287"/>
      <c r="I4805" s="211"/>
      <c r="J4805" s="211"/>
      <c r="K4805" s="288"/>
    </row>
    <row r="4806" spans="4:11" x14ac:dyDescent="0.2">
      <c r="D4806" s="308"/>
      <c r="E4806" s="291"/>
      <c r="F4806" s="291"/>
      <c r="G4806" s="291"/>
      <c r="H4806" s="287"/>
      <c r="I4806" s="211"/>
      <c r="J4806" s="211"/>
      <c r="K4806" s="288"/>
    </row>
    <row r="4807" spans="4:11" x14ac:dyDescent="0.2">
      <c r="D4807" s="308"/>
      <c r="E4807" s="291"/>
      <c r="F4807" s="291"/>
      <c r="G4807" s="291"/>
      <c r="H4807" s="287"/>
      <c r="I4807" s="211"/>
      <c r="J4807" s="211"/>
      <c r="K4807" s="288"/>
    </row>
    <row r="4808" spans="4:11" x14ac:dyDescent="0.2">
      <c r="D4808" s="308"/>
      <c r="E4808" s="291"/>
      <c r="F4808" s="291"/>
      <c r="G4808" s="291"/>
      <c r="H4808" s="287"/>
      <c r="I4808" s="211"/>
      <c r="J4808" s="211"/>
      <c r="K4808" s="288"/>
    </row>
    <row r="4809" spans="4:11" x14ac:dyDescent="0.2">
      <c r="D4809" s="308"/>
      <c r="E4809" s="291"/>
      <c r="F4809" s="291"/>
      <c r="G4809" s="291"/>
      <c r="H4809" s="287"/>
      <c r="I4809" s="211"/>
      <c r="J4809" s="211"/>
      <c r="K4809" s="288"/>
    </row>
    <row r="4810" spans="4:11" x14ac:dyDescent="0.2">
      <c r="D4810" s="308"/>
      <c r="E4810" s="291"/>
      <c r="F4810" s="291"/>
      <c r="G4810" s="291"/>
      <c r="H4810" s="287"/>
      <c r="I4810" s="211"/>
      <c r="J4810" s="211"/>
      <c r="K4810" s="288"/>
    </row>
    <row r="4811" spans="4:11" x14ac:dyDescent="0.2">
      <c r="D4811" s="308"/>
      <c r="E4811" s="291"/>
      <c r="F4811" s="291"/>
      <c r="G4811" s="291"/>
      <c r="H4811" s="287"/>
      <c r="I4811" s="211"/>
      <c r="J4811" s="211"/>
      <c r="K4811" s="288"/>
    </row>
    <row r="4812" spans="4:11" x14ac:dyDescent="0.2">
      <c r="D4812" s="308"/>
      <c r="E4812" s="291"/>
      <c r="F4812" s="291"/>
      <c r="G4812" s="291"/>
      <c r="H4812" s="287"/>
      <c r="I4812" s="211"/>
      <c r="J4812" s="211"/>
      <c r="K4812" s="288"/>
    </row>
    <row r="4813" spans="4:11" x14ac:dyDescent="0.2">
      <c r="D4813" s="308"/>
      <c r="E4813" s="291"/>
      <c r="F4813" s="291"/>
      <c r="G4813" s="291"/>
      <c r="H4813" s="287"/>
      <c r="I4813" s="211"/>
      <c r="J4813" s="211"/>
      <c r="K4813" s="288"/>
    </row>
    <row r="4814" spans="4:11" x14ac:dyDescent="0.2">
      <c r="D4814" s="308"/>
      <c r="E4814" s="291"/>
      <c r="F4814" s="291"/>
      <c r="G4814" s="291"/>
      <c r="H4814" s="287"/>
      <c r="I4814" s="211"/>
      <c r="J4814" s="211"/>
      <c r="K4814" s="288"/>
    </row>
    <row r="4815" spans="4:11" x14ac:dyDescent="0.2">
      <c r="D4815" s="308"/>
      <c r="E4815" s="291"/>
      <c r="F4815" s="291"/>
      <c r="G4815" s="291"/>
      <c r="H4815" s="287"/>
      <c r="I4815" s="211"/>
      <c r="J4815" s="211"/>
      <c r="K4815" s="288"/>
    </row>
    <row r="4816" spans="4:11" x14ac:dyDescent="0.2">
      <c r="D4816" s="308"/>
      <c r="E4816" s="291"/>
      <c r="F4816" s="291"/>
      <c r="G4816" s="291"/>
      <c r="H4816" s="287"/>
      <c r="I4816" s="211"/>
      <c r="J4816" s="211"/>
      <c r="K4816" s="288"/>
    </row>
    <row r="4817" spans="4:11" x14ac:dyDescent="0.2">
      <c r="D4817" s="308"/>
      <c r="E4817" s="291"/>
      <c r="F4817" s="291"/>
      <c r="G4817" s="291"/>
      <c r="H4817" s="287"/>
      <c r="I4817" s="211"/>
      <c r="J4817" s="211"/>
      <c r="K4817" s="288"/>
    </row>
    <row r="4818" spans="4:11" x14ac:dyDescent="0.2">
      <c r="D4818" s="308"/>
      <c r="E4818" s="291"/>
      <c r="F4818" s="291"/>
      <c r="G4818" s="291"/>
      <c r="H4818" s="287"/>
      <c r="I4818" s="211"/>
      <c r="J4818" s="211"/>
      <c r="K4818" s="288"/>
    </row>
    <row r="4819" spans="4:11" x14ac:dyDescent="0.2">
      <c r="D4819" s="308"/>
      <c r="E4819" s="291"/>
      <c r="F4819" s="291"/>
      <c r="G4819" s="291"/>
      <c r="H4819" s="287"/>
      <c r="I4819" s="211"/>
      <c r="J4819" s="211"/>
      <c r="K4819" s="288"/>
    </row>
    <row r="4820" spans="4:11" x14ac:dyDescent="0.2">
      <c r="D4820" s="308"/>
      <c r="E4820" s="291"/>
      <c r="F4820" s="291"/>
      <c r="G4820" s="291"/>
      <c r="H4820" s="287"/>
      <c r="I4820" s="211"/>
      <c r="J4820" s="211"/>
      <c r="K4820" s="288"/>
    </row>
    <row r="4821" spans="4:11" x14ac:dyDescent="0.2">
      <c r="D4821" s="308"/>
      <c r="E4821" s="291"/>
      <c r="F4821" s="291"/>
      <c r="G4821" s="291"/>
      <c r="H4821" s="287"/>
      <c r="I4821" s="211"/>
      <c r="J4821" s="211"/>
      <c r="K4821" s="288"/>
    </row>
    <row r="4822" spans="4:11" x14ac:dyDescent="0.2">
      <c r="D4822" s="308"/>
      <c r="E4822" s="291"/>
      <c r="F4822" s="291"/>
      <c r="G4822" s="291"/>
      <c r="H4822" s="287"/>
      <c r="I4822" s="211"/>
      <c r="J4822" s="211"/>
      <c r="K4822" s="288"/>
    </row>
    <row r="4823" spans="4:11" x14ac:dyDescent="0.2">
      <c r="D4823" s="308"/>
      <c r="E4823" s="291"/>
      <c r="F4823" s="291"/>
      <c r="G4823" s="291"/>
      <c r="H4823" s="287"/>
      <c r="I4823" s="211"/>
      <c r="J4823" s="211"/>
      <c r="K4823" s="288"/>
    </row>
    <row r="4824" spans="4:11" x14ac:dyDescent="0.2">
      <c r="D4824" s="308"/>
      <c r="E4824" s="291"/>
      <c r="F4824" s="291"/>
      <c r="G4824" s="291"/>
      <c r="H4824" s="287"/>
      <c r="I4824" s="211"/>
      <c r="J4824" s="211"/>
      <c r="K4824" s="288"/>
    </row>
    <row r="4825" spans="4:11" x14ac:dyDescent="0.2">
      <c r="D4825" s="308"/>
      <c r="E4825" s="291"/>
      <c r="F4825" s="291"/>
      <c r="G4825" s="291"/>
      <c r="H4825" s="287"/>
      <c r="I4825" s="211"/>
      <c r="J4825" s="211"/>
      <c r="K4825" s="288"/>
    </row>
    <row r="4826" spans="4:11" x14ac:dyDescent="0.2">
      <c r="D4826" s="308"/>
      <c r="E4826" s="291"/>
      <c r="F4826" s="291"/>
      <c r="G4826" s="291"/>
      <c r="H4826" s="287"/>
      <c r="I4826" s="211"/>
      <c r="J4826" s="211"/>
      <c r="K4826" s="288"/>
    </row>
    <row r="4827" spans="4:11" x14ac:dyDescent="0.2">
      <c r="D4827" s="308"/>
      <c r="E4827" s="291"/>
      <c r="F4827" s="291"/>
      <c r="G4827" s="291"/>
      <c r="H4827" s="287"/>
      <c r="I4827" s="211"/>
      <c r="J4827" s="211"/>
      <c r="K4827" s="288"/>
    </row>
    <row r="4828" spans="4:11" x14ac:dyDescent="0.2">
      <c r="D4828" s="308"/>
      <c r="E4828" s="291"/>
      <c r="F4828" s="291"/>
      <c r="G4828" s="291"/>
      <c r="H4828" s="287"/>
      <c r="I4828" s="211"/>
      <c r="J4828" s="211"/>
      <c r="K4828" s="288"/>
    </row>
    <row r="4829" spans="4:11" x14ac:dyDescent="0.2">
      <c r="D4829" s="308"/>
      <c r="E4829" s="291"/>
      <c r="F4829" s="291"/>
      <c r="G4829" s="291"/>
      <c r="H4829" s="287"/>
      <c r="I4829" s="211"/>
      <c r="J4829" s="211"/>
      <c r="K4829" s="288"/>
    </row>
    <row r="4830" spans="4:11" x14ac:dyDescent="0.2">
      <c r="D4830" s="308"/>
      <c r="E4830" s="291"/>
      <c r="F4830" s="291"/>
      <c r="G4830" s="291"/>
      <c r="H4830" s="287"/>
      <c r="I4830" s="211"/>
      <c r="J4830" s="211"/>
      <c r="K4830" s="288"/>
    </row>
    <row r="4831" spans="4:11" x14ac:dyDescent="0.2">
      <c r="D4831" s="308"/>
      <c r="E4831" s="291"/>
      <c r="F4831" s="291"/>
      <c r="G4831" s="291"/>
      <c r="H4831" s="287"/>
      <c r="I4831" s="211"/>
      <c r="J4831" s="211"/>
      <c r="K4831" s="288"/>
    </row>
    <row r="4832" spans="4:11" x14ac:dyDescent="0.2">
      <c r="D4832" s="308"/>
      <c r="E4832" s="291"/>
      <c r="F4832" s="291"/>
      <c r="G4832" s="291"/>
      <c r="H4832" s="287"/>
      <c r="I4832" s="211"/>
      <c r="J4832" s="211"/>
      <c r="K4832" s="288"/>
    </row>
    <row r="4833" spans="4:11" x14ac:dyDescent="0.2">
      <c r="D4833" s="308"/>
      <c r="E4833" s="291"/>
      <c r="F4833" s="291"/>
      <c r="G4833" s="291"/>
      <c r="H4833" s="287"/>
      <c r="I4833" s="211"/>
      <c r="J4833" s="211"/>
      <c r="K4833" s="288"/>
    </row>
    <row r="4834" spans="4:11" x14ac:dyDescent="0.2">
      <c r="D4834" s="308"/>
      <c r="E4834" s="291"/>
      <c r="F4834" s="291"/>
      <c r="G4834" s="291"/>
      <c r="H4834" s="287"/>
      <c r="I4834" s="211"/>
      <c r="J4834" s="211"/>
      <c r="K4834" s="288"/>
    </row>
    <row r="4835" spans="4:11" x14ac:dyDescent="0.2">
      <c r="D4835" s="308"/>
      <c r="E4835" s="291"/>
      <c r="F4835" s="291"/>
      <c r="G4835" s="291"/>
      <c r="H4835" s="287"/>
      <c r="I4835" s="211"/>
      <c r="J4835" s="211"/>
      <c r="K4835" s="288"/>
    </row>
    <row r="4836" spans="4:11" x14ac:dyDescent="0.2">
      <c r="D4836" s="308"/>
      <c r="E4836" s="291"/>
      <c r="F4836" s="291"/>
      <c r="G4836" s="291"/>
      <c r="H4836" s="287"/>
      <c r="I4836" s="211"/>
      <c r="J4836" s="211"/>
      <c r="K4836" s="288"/>
    </row>
    <row r="4837" spans="4:11" x14ac:dyDescent="0.2">
      <c r="D4837" s="308"/>
      <c r="E4837" s="291"/>
      <c r="F4837" s="291"/>
      <c r="G4837" s="291"/>
      <c r="H4837" s="287"/>
      <c r="I4837" s="211"/>
      <c r="J4837" s="211"/>
      <c r="K4837" s="288"/>
    </row>
    <row r="4838" spans="4:11" x14ac:dyDescent="0.2">
      <c r="D4838" s="308"/>
      <c r="E4838" s="291"/>
      <c r="F4838" s="291"/>
      <c r="G4838" s="291"/>
      <c r="H4838" s="287"/>
      <c r="I4838" s="211"/>
      <c r="J4838" s="211"/>
      <c r="K4838" s="288"/>
    </row>
    <row r="4839" spans="4:11" x14ac:dyDescent="0.2">
      <c r="D4839" s="308"/>
      <c r="E4839" s="291"/>
      <c r="F4839" s="291"/>
      <c r="G4839" s="291"/>
      <c r="H4839" s="287"/>
      <c r="I4839" s="211"/>
      <c r="J4839" s="211"/>
      <c r="K4839" s="288"/>
    </row>
    <row r="4840" spans="4:11" x14ac:dyDescent="0.2">
      <c r="D4840" s="308"/>
      <c r="E4840" s="291"/>
      <c r="F4840" s="291"/>
      <c r="G4840" s="291"/>
      <c r="H4840" s="287"/>
      <c r="I4840" s="211"/>
      <c r="J4840" s="211"/>
      <c r="K4840" s="288"/>
    </row>
    <row r="4841" spans="4:11" x14ac:dyDescent="0.2">
      <c r="D4841" s="308"/>
      <c r="E4841" s="291"/>
      <c r="F4841" s="291"/>
      <c r="G4841" s="291"/>
      <c r="H4841" s="287"/>
      <c r="I4841" s="211"/>
      <c r="J4841" s="211"/>
      <c r="K4841" s="288"/>
    </row>
    <row r="4842" spans="4:11" x14ac:dyDescent="0.2">
      <c r="D4842" s="308"/>
      <c r="E4842" s="291"/>
      <c r="F4842" s="291"/>
      <c r="G4842" s="291"/>
      <c r="H4842" s="287"/>
      <c r="I4842" s="211"/>
      <c r="J4842" s="211"/>
      <c r="K4842" s="288"/>
    </row>
    <row r="4843" spans="4:11" x14ac:dyDescent="0.2">
      <c r="D4843" s="308"/>
      <c r="E4843" s="291"/>
      <c r="F4843" s="291"/>
      <c r="G4843" s="291"/>
      <c r="H4843" s="287"/>
      <c r="I4843" s="211"/>
      <c r="J4843" s="211"/>
      <c r="K4843" s="288"/>
    </row>
    <row r="4844" spans="4:11" x14ac:dyDescent="0.2">
      <c r="D4844" s="308"/>
      <c r="E4844" s="291"/>
      <c r="F4844" s="291"/>
      <c r="G4844" s="291"/>
      <c r="H4844" s="287"/>
      <c r="I4844" s="211"/>
      <c r="J4844" s="211"/>
      <c r="K4844" s="288"/>
    </row>
    <row r="4845" spans="4:11" x14ac:dyDescent="0.2">
      <c r="D4845" s="308"/>
      <c r="E4845" s="291"/>
      <c r="F4845" s="291"/>
      <c r="G4845" s="291"/>
      <c r="H4845" s="287"/>
      <c r="I4845" s="211"/>
      <c r="J4845" s="211"/>
      <c r="K4845" s="288"/>
    </row>
    <row r="4846" spans="4:11" x14ac:dyDescent="0.2">
      <c r="D4846" s="308"/>
      <c r="E4846" s="291"/>
      <c r="F4846" s="291"/>
      <c r="G4846" s="291"/>
      <c r="H4846" s="287"/>
      <c r="I4846" s="211"/>
      <c r="J4846" s="211"/>
      <c r="K4846" s="288"/>
    </row>
    <row r="4847" spans="4:11" x14ac:dyDescent="0.2">
      <c r="D4847" s="308"/>
      <c r="E4847" s="291"/>
      <c r="F4847" s="291"/>
      <c r="G4847" s="291"/>
      <c r="H4847" s="287"/>
      <c r="I4847" s="211"/>
      <c r="J4847" s="211"/>
      <c r="K4847" s="288"/>
    </row>
    <row r="4848" spans="4:11" x14ac:dyDescent="0.2">
      <c r="D4848" s="308"/>
      <c r="E4848" s="291"/>
      <c r="F4848" s="291"/>
      <c r="G4848" s="291"/>
      <c r="H4848" s="287"/>
      <c r="I4848" s="211"/>
      <c r="J4848" s="211"/>
      <c r="K4848" s="288"/>
    </row>
    <row r="4849" spans="4:11" x14ac:dyDescent="0.2">
      <c r="D4849" s="308"/>
      <c r="E4849" s="291"/>
      <c r="F4849" s="291"/>
      <c r="G4849" s="291"/>
      <c r="H4849" s="287"/>
      <c r="I4849" s="211"/>
      <c r="J4849" s="211"/>
      <c r="K4849" s="288"/>
    </row>
    <row r="4850" spans="4:11" x14ac:dyDescent="0.2">
      <c r="D4850" s="308"/>
      <c r="E4850" s="291"/>
      <c r="F4850" s="291"/>
      <c r="G4850" s="291"/>
      <c r="H4850" s="287"/>
      <c r="I4850" s="211"/>
      <c r="J4850" s="211"/>
      <c r="K4850" s="288"/>
    </row>
    <row r="4851" spans="4:11" x14ac:dyDescent="0.2">
      <c r="D4851" s="308"/>
      <c r="E4851" s="291"/>
      <c r="F4851" s="291"/>
      <c r="G4851" s="291"/>
      <c r="H4851" s="287"/>
      <c r="I4851" s="211"/>
      <c r="J4851" s="211"/>
      <c r="K4851" s="288"/>
    </row>
    <row r="4852" spans="4:11" x14ac:dyDescent="0.2">
      <c r="D4852" s="308"/>
      <c r="E4852" s="291"/>
      <c r="F4852" s="291"/>
      <c r="G4852" s="291"/>
      <c r="H4852" s="287"/>
      <c r="I4852" s="211"/>
      <c r="J4852" s="211"/>
      <c r="K4852" s="288"/>
    </row>
    <row r="4853" spans="4:11" x14ac:dyDescent="0.2">
      <c r="D4853" s="308"/>
      <c r="E4853" s="291"/>
      <c r="F4853" s="291"/>
      <c r="G4853" s="291"/>
      <c r="H4853" s="287"/>
      <c r="I4853" s="211"/>
      <c r="J4853" s="211"/>
      <c r="K4853" s="288"/>
    </row>
    <row r="4854" spans="4:11" x14ac:dyDescent="0.2">
      <c r="D4854" s="308"/>
      <c r="E4854" s="291"/>
      <c r="F4854" s="291"/>
      <c r="G4854" s="291"/>
      <c r="H4854" s="287"/>
      <c r="I4854" s="211"/>
      <c r="J4854" s="211"/>
      <c r="K4854" s="288"/>
    </row>
    <row r="4855" spans="4:11" x14ac:dyDescent="0.2">
      <c r="D4855" s="308"/>
      <c r="E4855" s="291"/>
      <c r="F4855" s="291"/>
      <c r="G4855" s="291"/>
      <c r="H4855" s="287"/>
      <c r="I4855" s="211"/>
      <c r="J4855" s="211"/>
      <c r="K4855" s="288"/>
    </row>
    <row r="4856" spans="4:11" x14ac:dyDescent="0.2">
      <c r="D4856" s="308"/>
      <c r="E4856" s="291"/>
      <c r="F4856" s="291"/>
      <c r="G4856" s="291"/>
      <c r="H4856" s="287"/>
      <c r="I4856" s="211"/>
      <c r="J4856" s="211"/>
      <c r="K4856" s="288"/>
    </row>
    <row r="4857" spans="4:11" x14ac:dyDescent="0.2">
      <c r="D4857" s="308"/>
      <c r="E4857" s="291"/>
      <c r="F4857" s="291"/>
      <c r="G4857" s="291"/>
      <c r="H4857" s="287"/>
      <c r="I4857" s="211"/>
      <c r="J4857" s="211"/>
      <c r="K4857" s="288"/>
    </row>
    <row r="4858" spans="4:11" x14ac:dyDescent="0.2">
      <c r="D4858" s="308"/>
      <c r="E4858" s="291"/>
      <c r="F4858" s="291"/>
      <c r="G4858" s="291"/>
      <c r="H4858" s="287"/>
      <c r="I4858" s="211"/>
      <c r="J4858" s="211"/>
      <c r="K4858" s="288"/>
    </row>
    <row r="4859" spans="4:11" x14ac:dyDescent="0.2">
      <c r="D4859" s="308"/>
      <c r="E4859" s="291"/>
      <c r="F4859" s="291"/>
      <c r="G4859" s="291"/>
      <c r="H4859" s="287"/>
      <c r="I4859" s="211"/>
      <c r="J4859" s="211"/>
      <c r="K4859" s="288"/>
    </row>
    <row r="4860" spans="4:11" x14ac:dyDescent="0.2">
      <c r="D4860" s="308"/>
      <c r="E4860" s="291"/>
      <c r="F4860" s="291"/>
      <c r="G4860" s="291"/>
      <c r="H4860" s="287"/>
      <c r="I4860" s="211"/>
      <c r="J4860" s="211"/>
      <c r="K4860" s="288"/>
    </row>
    <row r="4861" spans="4:11" x14ac:dyDescent="0.2">
      <c r="D4861" s="308"/>
      <c r="E4861" s="291"/>
      <c r="F4861" s="291"/>
      <c r="G4861" s="291"/>
      <c r="H4861" s="287"/>
      <c r="I4861" s="211"/>
      <c r="J4861" s="211"/>
      <c r="K4861" s="288"/>
    </row>
    <row r="4862" spans="4:11" x14ac:dyDescent="0.2">
      <c r="D4862" s="308"/>
      <c r="E4862" s="291"/>
      <c r="F4862" s="291"/>
      <c r="G4862" s="291"/>
      <c r="H4862" s="287"/>
      <c r="I4862" s="211"/>
      <c r="J4862" s="211"/>
      <c r="K4862" s="288"/>
    </row>
    <row r="4863" spans="4:11" x14ac:dyDescent="0.2">
      <c r="D4863" s="308"/>
      <c r="E4863" s="291"/>
      <c r="F4863" s="291"/>
      <c r="G4863" s="291"/>
      <c r="H4863" s="287"/>
      <c r="I4863" s="211"/>
      <c r="J4863" s="211"/>
      <c r="K4863" s="288"/>
    </row>
    <row r="4864" spans="4:11" x14ac:dyDescent="0.2">
      <c r="D4864" s="308"/>
      <c r="E4864" s="291"/>
      <c r="F4864" s="291"/>
      <c r="G4864" s="291"/>
      <c r="H4864" s="287"/>
      <c r="I4864" s="211"/>
      <c r="J4864" s="211"/>
      <c r="K4864" s="288"/>
    </row>
    <row r="4865" spans="4:11" x14ac:dyDescent="0.2">
      <c r="D4865" s="308"/>
      <c r="E4865" s="291"/>
      <c r="F4865" s="291"/>
      <c r="G4865" s="291"/>
      <c r="H4865" s="287"/>
      <c r="I4865" s="211"/>
      <c r="J4865" s="211"/>
      <c r="K4865" s="288"/>
    </row>
    <row r="4866" spans="4:11" x14ac:dyDescent="0.2">
      <c r="D4866" s="308"/>
      <c r="E4866" s="291"/>
      <c r="F4866" s="291"/>
      <c r="G4866" s="291"/>
      <c r="H4866" s="287"/>
      <c r="I4866" s="211"/>
      <c r="J4866" s="211"/>
      <c r="K4866" s="288"/>
    </row>
    <row r="4867" spans="4:11" x14ac:dyDescent="0.2">
      <c r="D4867" s="308"/>
      <c r="E4867" s="291"/>
      <c r="F4867" s="291"/>
      <c r="G4867" s="291"/>
      <c r="H4867" s="287"/>
      <c r="I4867" s="211"/>
      <c r="J4867" s="211"/>
      <c r="K4867" s="288"/>
    </row>
    <row r="4868" spans="4:11" x14ac:dyDescent="0.2">
      <c r="D4868" s="308"/>
      <c r="E4868" s="291"/>
      <c r="F4868" s="291"/>
      <c r="G4868" s="291"/>
      <c r="H4868" s="287"/>
      <c r="I4868" s="211"/>
      <c r="J4868" s="211"/>
      <c r="K4868" s="288"/>
    </row>
    <row r="4869" spans="4:11" x14ac:dyDescent="0.2">
      <c r="D4869" s="308"/>
      <c r="E4869" s="291"/>
      <c r="F4869" s="291"/>
      <c r="G4869" s="291"/>
      <c r="H4869" s="287"/>
      <c r="I4869" s="211"/>
      <c r="J4869" s="211"/>
      <c r="K4869" s="288"/>
    </row>
    <row r="4870" spans="4:11" x14ac:dyDescent="0.2">
      <c r="D4870" s="308"/>
      <c r="E4870" s="291"/>
      <c r="F4870" s="291"/>
      <c r="G4870" s="291"/>
      <c r="H4870" s="287"/>
      <c r="I4870" s="211"/>
      <c r="J4870" s="211"/>
      <c r="K4870" s="288"/>
    </row>
    <row r="4871" spans="4:11" x14ac:dyDescent="0.2">
      <c r="D4871" s="308"/>
      <c r="E4871" s="291"/>
      <c r="F4871" s="291"/>
      <c r="G4871" s="291"/>
      <c r="H4871" s="287"/>
      <c r="I4871" s="211"/>
      <c r="J4871" s="211"/>
      <c r="K4871" s="288"/>
    </row>
    <row r="4872" spans="4:11" x14ac:dyDescent="0.2">
      <c r="D4872" s="308"/>
      <c r="E4872" s="291"/>
      <c r="F4872" s="291"/>
      <c r="G4872" s="291"/>
      <c r="H4872" s="287"/>
      <c r="I4872" s="211"/>
      <c r="J4872" s="211"/>
      <c r="K4872" s="288"/>
    </row>
    <row r="4873" spans="4:11" x14ac:dyDescent="0.2">
      <c r="D4873" s="308"/>
      <c r="E4873" s="291"/>
      <c r="F4873" s="291"/>
      <c r="G4873" s="291"/>
      <c r="H4873" s="287"/>
      <c r="I4873" s="211"/>
      <c r="J4873" s="211"/>
      <c r="K4873" s="288"/>
    </row>
    <row r="4874" spans="4:11" x14ac:dyDescent="0.2">
      <c r="D4874" s="308"/>
      <c r="E4874" s="291"/>
      <c r="F4874" s="291"/>
      <c r="G4874" s="291"/>
      <c r="H4874" s="287"/>
      <c r="I4874" s="211"/>
      <c r="J4874" s="211"/>
      <c r="K4874" s="288"/>
    </row>
    <row r="4875" spans="4:11" x14ac:dyDescent="0.2">
      <c r="D4875" s="308"/>
      <c r="E4875" s="291"/>
      <c r="F4875" s="291"/>
      <c r="G4875" s="291"/>
      <c r="H4875" s="287"/>
      <c r="I4875" s="211"/>
      <c r="J4875" s="211"/>
      <c r="K4875" s="288"/>
    </row>
    <row r="4876" spans="4:11" x14ac:dyDescent="0.2">
      <c r="D4876" s="308"/>
      <c r="E4876" s="291"/>
      <c r="F4876" s="291"/>
      <c r="G4876" s="291"/>
      <c r="H4876" s="287"/>
      <c r="I4876" s="211"/>
      <c r="J4876" s="211"/>
      <c r="K4876" s="288"/>
    </row>
    <row r="4877" spans="4:11" x14ac:dyDescent="0.2">
      <c r="D4877" s="308"/>
      <c r="E4877" s="291"/>
      <c r="F4877" s="291"/>
      <c r="G4877" s="291"/>
      <c r="H4877" s="287"/>
      <c r="I4877" s="211"/>
      <c r="J4877" s="211"/>
      <c r="K4877" s="288"/>
    </row>
    <row r="4878" spans="4:11" x14ac:dyDescent="0.2">
      <c r="D4878" s="308"/>
      <c r="E4878" s="291"/>
      <c r="F4878" s="291"/>
      <c r="G4878" s="291"/>
      <c r="H4878" s="287"/>
      <c r="I4878" s="211"/>
      <c r="J4878" s="211"/>
      <c r="K4878" s="288"/>
    </row>
    <row r="4879" spans="4:11" x14ac:dyDescent="0.2">
      <c r="D4879" s="308"/>
      <c r="E4879" s="291"/>
      <c r="F4879" s="291"/>
      <c r="G4879" s="291"/>
      <c r="H4879" s="287"/>
      <c r="I4879" s="211"/>
      <c r="J4879" s="211"/>
      <c r="K4879" s="288"/>
    </row>
    <row r="4880" spans="4:11" x14ac:dyDescent="0.2">
      <c r="D4880" s="308"/>
      <c r="E4880" s="291"/>
      <c r="F4880" s="291"/>
      <c r="G4880" s="291"/>
      <c r="H4880" s="287"/>
      <c r="I4880" s="211"/>
      <c r="J4880" s="211"/>
      <c r="K4880" s="288"/>
    </row>
    <row r="4881" spans="4:11" x14ac:dyDescent="0.2">
      <c r="D4881" s="308"/>
      <c r="E4881" s="291"/>
      <c r="F4881" s="291"/>
      <c r="G4881" s="291"/>
      <c r="H4881" s="287"/>
      <c r="I4881" s="211"/>
      <c r="J4881" s="211"/>
      <c r="K4881" s="288"/>
    </row>
    <row r="4882" spans="4:11" x14ac:dyDescent="0.2">
      <c r="D4882" s="308"/>
      <c r="E4882" s="291"/>
      <c r="F4882" s="291"/>
      <c r="G4882" s="291"/>
      <c r="H4882" s="287"/>
      <c r="I4882" s="211"/>
      <c r="J4882" s="211"/>
      <c r="K4882" s="288"/>
    </row>
    <row r="4883" spans="4:11" x14ac:dyDescent="0.2">
      <c r="D4883" s="308"/>
      <c r="E4883" s="291"/>
      <c r="F4883" s="291"/>
      <c r="G4883" s="291"/>
      <c r="H4883" s="287"/>
      <c r="I4883" s="211"/>
      <c r="J4883" s="211"/>
      <c r="K4883" s="288"/>
    </row>
    <row r="4884" spans="4:11" x14ac:dyDescent="0.2">
      <c r="D4884" s="308"/>
      <c r="E4884" s="291"/>
      <c r="F4884" s="291"/>
      <c r="G4884" s="291"/>
      <c r="H4884" s="287"/>
      <c r="I4884" s="211"/>
      <c r="J4884" s="211"/>
      <c r="K4884" s="288"/>
    </row>
    <row r="4885" spans="4:11" x14ac:dyDescent="0.2">
      <c r="D4885" s="308"/>
      <c r="E4885" s="291"/>
      <c r="F4885" s="291"/>
      <c r="G4885" s="291"/>
      <c r="H4885" s="287"/>
      <c r="I4885" s="211"/>
      <c r="J4885" s="211"/>
      <c r="K4885" s="288"/>
    </row>
    <row r="4886" spans="4:11" x14ac:dyDescent="0.2">
      <c r="D4886" s="308"/>
      <c r="E4886" s="291"/>
      <c r="F4886" s="291"/>
      <c r="G4886" s="291"/>
      <c r="H4886" s="287"/>
      <c r="I4886" s="211"/>
      <c r="J4886" s="211"/>
      <c r="K4886" s="288"/>
    </row>
    <row r="4887" spans="4:11" x14ac:dyDescent="0.2">
      <c r="D4887" s="308"/>
      <c r="E4887" s="291"/>
      <c r="F4887" s="291"/>
      <c r="G4887" s="291"/>
      <c r="H4887" s="287"/>
      <c r="I4887" s="211"/>
      <c r="J4887" s="211"/>
      <c r="K4887" s="288"/>
    </row>
    <row r="4888" spans="4:11" x14ac:dyDescent="0.2">
      <c r="D4888" s="308"/>
      <c r="E4888" s="291"/>
      <c r="F4888" s="291"/>
      <c r="G4888" s="291"/>
      <c r="H4888" s="287"/>
      <c r="I4888" s="211"/>
      <c r="J4888" s="211"/>
      <c r="K4888" s="288"/>
    </row>
    <row r="4889" spans="4:11" x14ac:dyDescent="0.2">
      <c r="D4889" s="308"/>
      <c r="E4889" s="291"/>
      <c r="F4889" s="291"/>
      <c r="G4889" s="291"/>
      <c r="H4889" s="287"/>
      <c r="I4889" s="211"/>
      <c r="J4889" s="211"/>
      <c r="K4889" s="288"/>
    </row>
    <row r="4890" spans="4:11" x14ac:dyDescent="0.2">
      <c r="D4890" s="308"/>
      <c r="E4890" s="291"/>
      <c r="F4890" s="291"/>
      <c r="G4890" s="291"/>
      <c r="H4890" s="287"/>
      <c r="I4890" s="211"/>
      <c r="J4890" s="211"/>
      <c r="K4890" s="288"/>
    </row>
    <row r="4891" spans="4:11" x14ac:dyDescent="0.2">
      <c r="D4891" s="308"/>
      <c r="E4891" s="291"/>
      <c r="F4891" s="291"/>
      <c r="G4891" s="291"/>
      <c r="H4891" s="287"/>
      <c r="I4891" s="211"/>
      <c r="J4891" s="211"/>
      <c r="K4891" s="288"/>
    </row>
    <row r="4892" spans="4:11" x14ac:dyDescent="0.2">
      <c r="D4892" s="308"/>
      <c r="E4892" s="291"/>
      <c r="F4892" s="291"/>
      <c r="G4892" s="291"/>
      <c r="H4892" s="287"/>
      <c r="I4892" s="211"/>
      <c r="J4892" s="211"/>
      <c r="K4892" s="288"/>
    </row>
    <row r="4893" spans="4:11" x14ac:dyDescent="0.2">
      <c r="D4893" s="308"/>
      <c r="E4893" s="291"/>
      <c r="F4893" s="291"/>
      <c r="G4893" s="291"/>
      <c r="H4893" s="287"/>
      <c r="I4893" s="211"/>
      <c r="J4893" s="211"/>
      <c r="K4893" s="288"/>
    </row>
    <row r="4894" spans="4:11" x14ac:dyDescent="0.2">
      <c r="D4894" s="308"/>
      <c r="E4894" s="291"/>
      <c r="F4894" s="291"/>
      <c r="G4894" s="291"/>
      <c r="H4894" s="287"/>
      <c r="I4894" s="211"/>
      <c r="J4894" s="211"/>
      <c r="K4894" s="288"/>
    </row>
    <row r="4895" spans="4:11" x14ac:dyDescent="0.2">
      <c r="D4895" s="308"/>
      <c r="E4895" s="291"/>
      <c r="F4895" s="291"/>
      <c r="G4895" s="291"/>
      <c r="H4895" s="287"/>
      <c r="I4895" s="211"/>
      <c r="J4895" s="211"/>
      <c r="K4895" s="288"/>
    </row>
    <row r="4896" spans="4:11" x14ac:dyDescent="0.2">
      <c r="D4896" s="308"/>
      <c r="E4896" s="291"/>
      <c r="F4896" s="291"/>
      <c r="G4896" s="291"/>
      <c r="H4896" s="287"/>
      <c r="I4896" s="211"/>
      <c r="J4896" s="211"/>
      <c r="K4896" s="288"/>
    </row>
    <row r="4897" spans="4:11" x14ac:dyDescent="0.2">
      <c r="D4897" s="308"/>
      <c r="E4897" s="291"/>
      <c r="F4897" s="291"/>
      <c r="G4897" s="291"/>
      <c r="H4897" s="287"/>
      <c r="I4897" s="211"/>
      <c r="J4897" s="211"/>
      <c r="K4897" s="288"/>
    </row>
    <row r="4898" spans="4:11" x14ac:dyDescent="0.2">
      <c r="D4898" s="308"/>
      <c r="E4898" s="291"/>
      <c r="F4898" s="291"/>
      <c r="G4898" s="291"/>
      <c r="H4898" s="287"/>
      <c r="I4898" s="211"/>
      <c r="J4898" s="211"/>
      <c r="K4898" s="288"/>
    </row>
    <row r="4899" spans="4:11" x14ac:dyDescent="0.2">
      <c r="D4899" s="308"/>
      <c r="E4899" s="291"/>
      <c r="F4899" s="291"/>
      <c r="G4899" s="291"/>
      <c r="H4899" s="287"/>
      <c r="I4899" s="211"/>
      <c r="J4899" s="211"/>
      <c r="K4899" s="288"/>
    </row>
    <row r="4900" spans="4:11" x14ac:dyDescent="0.2">
      <c r="D4900" s="308"/>
      <c r="E4900" s="291"/>
      <c r="F4900" s="291"/>
      <c r="G4900" s="291"/>
      <c r="H4900" s="287"/>
      <c r="I4900" s="211"/>
      <c r="J4900" s="211"/>
      <c r="K4900" s="288"/>
    </row>
    <row r="4901" spans="4:11" x14ac:dyDescent="0.2">
      <c r="D4901" s="308"/>
      <c r="E4901" s="291"/>
      <c r="F4901" s="291"/>
      <c r="G4901" s="291"/>
      <c r="H4901" s="287"/>
      <c r="I4901" s="211"/>
      <c r="J4901" s="211"/>
      <c r="K4901" s="288"/>
    </row>
    <row r="4902" spans="4:11" x14ac:dyDescent="0.2">
      <c r="D4902" s="308"/>
      <c r="E4902" s="291"/>
      <c r="F4902" s="291"/>
      <c r="G4902" s="291"/>
      <c r="H4902" s="287"/>
      <c r="I4902" s="211"/>
      <c r="J4902" s="211"/>
      <c r="K4902" s="288"/>
    </row>
    <row r="4903" spans="4:11" x14ac:dyDescent="0.2">
      <c r="D4903" s="308"/>
      <c r="E4903" s="291"/>
      <c r="F4903" s="291"/>
      <c r="G4903" s="291"/>
      <c r="H4903" s="287"/>
      <c r="I4903" s="211"/>
      <c r="J4903" s="211"/>
      <c r="K4903" s="288"/>
    </row>
    <row r="4904" spans="4:11" x14ac:dyDescent="0.2">
      <c r="D4904" s="308"/>
      <c r="E4904" s="291"/>
      <c r="F4904" s="291"/>
      <c r="G4904" s="291"/>
      <c r="H4904" s="287"/>
      <c r="I4904" s="211"/>
      <c r="J4904" s="211"/>
      <c r="K4904" s="288"/>
    </row>
    <row r="4905" spans="4:11" x14ac:dyDescent="0.2">
      <c r="D4905" s="308"/>
      <c r="E4905" s="291"/>
      <c r="F4905" s="291"/>
      <c r="G4905" s="291"/>
      <c r="H4905" s="287"/>
      <c r="I4905" s="211"/>
      <c r="J4905" s="211"/>
      <c r="K4905" s="288"/>
    </row>
    <row r="4906" spans="4:11" x14ac:dyDescent="0.2">
      <c r="D4906" s="308"/>
      <c r="E4906" s="291"/>
      <c r="F4906" s="291"/>
      <c r="G4906" s="291"/>
      <c r="H4906" s="287"/>
      <c r="I4906" s="211"/>
      <c r="J4906" s="211"/>
      <c r="K4906" s="288"/>
    </row>
    <row r="4907" spans="4:11" x14ac:dyDescent="0.2">
      <c r="D4907" s="308"/>
      <c r="E4907" s="291"/>
      <c r="F4907" s="291"/>
      <c r="G4907" s="291"/>
      <c r="H4907" s="287"/>
      <c r="I4907" s="211"/>
      <c r="J4907" s="211"/>
      <c r="K4907" s="288"/>
    </row>
    <row r="4908" spans="4:11" x14ac:dyDescent="0.2">
      <c r="D4908" s="308"/>
      <c r="E4908" s="291"/>
      <c r="F4908" s="291"/>
      <c r="G4908" s="291"/>
      <c r="H4908" s="287"/>
      <c r="I4908" s="211"/>
      <c r="J4908" s="211"/>
      <c r="K4908" s="288"/>
    </row>
    <row r="4909" spans="4:11" x14ac:dyDescent="0.2">
      <c r="D4909" s="308"/>
      <c r="E4909" s="291"/>
      <c r="F4909" s="291"/>
      <c r="G4909" s="291"/>
      <c r="H4909" s="287"/>
      <c r="I4909" s="211"/>
      <c r="J4909" s="211"/>
      <c r="K4909" s="288"/>
    </row>
    <row r="4910" spans="4:11" x14ac:dyDescent="0.2">
      <c r="D4910" s="308"/>
      <c r="E4910" s="291"/>
      <c r="F4910" s="291"/>
      <c r="G4910" s="291"/>
      <c r="H4910" s="287"/>
      <c r="I4910" s="211"/>
      <c r="J4910" s="211"/>
      <c r="K4910" s="288"/>
    </row>
    <row r="4911" spans="4:11" x14ac:dyDescent="0.2">
      <c r="D4911" s="308"/>
      <c r="E4911" s="291"/>
      <c r="F4911" s="291"/>
      <c r="G4911" s="291"/>
      <c r="H4911" s="287"/>
      <c r="I4911" s="211"/>
      <c r="J4911" s="211"/>
      <c r="K4911" s="288"/>
    </row>
    <row r="4912" spans="4:11" x14ac:dyDescent="0.2">
      <c r="D4912" s="308"/>
      <c r="E4912" s="291"/>
      <c r="F4912" s="291"/>
      <c r="G4912" s="291"/>
      <c r="H4912" s="287"/>
      <c r="I4912" s="211"/>
      <c r="J4912" s="211"/>
      <c r="K4912" s="288"/>
    </row>
    <row r="4913" spans="4:11" x14ac:dyDescent="0.2">
      <c r="D4913" s="308"/>
      <c r="E4913" s="291"/>
      <c r="F4913" s="291"/>
      <c r="G4913" s="291"/>
      <c r="H4913" s="287"/>
      <c r="I4913" s="211"/>
      <c r="J4913" s="211"/>
      <c r="K4913" s="288"/>
    </row>
    <row r="4914" spans="4:11" x14ac:dyDescent="0.2">
      <c r="D4914" s="308"/>
      <c r="E4914" s="291"/>
      <c r="F4914" s="291"/>
      <c r="G4914" s="291"/>
      <c r="H4914" s="287"/>
      <c r="I4914" s="211"/>
      <c r="J4914" s="211"/>
      <c r="K4914" s="288"/>
    </row>
    <row r="4915" spans="4:11" x14ac:dyDescent="0.2">
      <c r="D4915" s="308"/>
      <c r="E4915" s="291"/>
      <c r="F4915" s="291"/>
      <c r="G4915" s="291"/>
      <c r="H4915" s="287"/>
      <c r="I4915" s="211"/>
      <c r="J4915" s="211"/>
      <c r="K4915" s="288"/>
    </row>
    <row r="4916" spans="4:11" x14ac:dyDescent="0.2">
      <c r="D4916" s="308"/>
      <c r="E4916" s="291"/>
      <c r="F4916" s="291"/>
      <c r="G4916" s="291"/>
      <c r="H4916" s="287"/>
      <c r="I4916" s="211"/>
      <c r="J4916" s="211"/>
      <c r="K4916" s="288"/>
    </row>
    <row r="4917" spans="4:11" x14ac:dyDescent="0.2">
      <c r="D4917" s="308"/>
      <c r="E4917" s="291"/>
      <c r="F4917" s="291"/>
      <c r="G4917" s="291"/>
      <c r="H4917" s="287"/>
      <c r="I4917" s="211"/>
      <c r="J4917" s="211"/>
      <c r="K4917" s="288"/>
    </row>
    <row r="4918" spans="4:11" x14ac:dyDescent="0.2">
      <c r="D4918" s="308"/>
      <c r="E4918" s="291"/>
      <c r="F4918" s="291"/>
      <c r="G4918" s="291"/>
      <c r="H4918" s="287"/>
      <c r="I4918" s="211"/>
      <c r="J4918" s="211"/>
      <c r="K4918" s="288"/>
    </row>
    <row r="4919" spans="4:11" x14ac:dyDescent="0.2">
      <c r="D4919" s="308"/>
      <c r="E4919" s="291"/>
      <c r="F4919" s="291"/>
      <c r="G4919" s="291"/>
      <c r="H4919" s="287"/>
      <c r="I4919" s="211"/>
      <c r="J4919" s="211"/>
      <c r="K4919" s="288"/>
    </row>
    <row r="4920" spans="4:11" x14ac:dyDescent="0.2">
      <c r="D4920" s="308"/>
      <c r="E4920" s="291"/>
      <c r="F4920" s="291"/>
      <c r="G4920" s="291"/>
      <c r="H4920" s="287"/>
      <c r="I4920" s="211"/>
      <c r="J4920" s="211"/>
      <c r="K4920" s="288"/>
    </row>
    <row r="4921" spans="4:11" x14ac:dyDescent="0.2">
      <c r="D4921" s="308"/>
      <c r="E4921" s="291"/>
      <c r="F4921" s="291"/>
      <c r="G4921" s="291"/>
      <c r="H4921" s="287"/>
      <c r="I4921" s="211"/>
      <c r="J4921" s="211"/>
      <c r="K4921" s="288"/>
    </row>
    <row r="4922" spans="4:11" x14ac:dyDescent="0.2">
      <c r="D4922" s="308"/>
      <c r="E4922" s="291"/>
      <c r="F4922" s="291"/>
      <c r="G4922" s="291"/>
      <c r="H4922" s="287"/>
      <c r="I4922" s="211"/>
      <c r="J4922" s="211"/>
      <c r="K4922" s="288"/>
    </row>
    <row r="4923" spans="4:11" x14ac:dyDescent="0.2">
      <c r="D4923" s="308"/>
      <c r="E4923" s="291"/>
      <c r="F4923" s="291"/>
      <c r="G4923" s="291"/>
      <c r="H4923" s="287"/>
      <c r="I4923" s="211"/>
      <c r="J4923" s="211"/>
      <c r="K4923" s="288"/>
    </row>
    <row r="4924" spans="4:11" x14ac:dyDescent="0.2">
      <c r="D4924" s="308"/>
      <c r="E4924" s="291"/>
      <c r="F4924" s="291"/>
      <c r="G4924" s="291"/>
      <c r="H4924" s="287"/>
      <c r="I4924" s="211"/>
      <c r="J4924" s="211"/>
      <c r="K4924" s="288"/>
    </row>
    <row r="4925" spans="4:11" x14ac:dyDescent="0.2">
      <c r="D4925" s="308"/>
      <c r="E4925" s="291"/>
      <c r="F4925" s="291"/>
      <c r="G4925" s="291"/>
      <c r="H4925" s="287"/>
      <c r="I4925" s="211"/>
      <c r="J4925" s="211"/>
      <c r="K4925" s="288"/>
    </row>
    <row r="4926" spans="4:11" x14ac:dyDescent="0.2">
      <c r="D4926" s="308"/>
      <c r="E4926" s="291"/>
      <c r="F4926" s="291"/>
      <c r="G4926" s="291"/>
      <c r="H4926" s="287"/>
      <c r="I4926" s="211"/>
      <c r="J4926" s="211"/>
      <c r="K4926" s="288"/>
    </row>
    <row r="4927" spans="4:11" x14ac:dyDescent="0.2">
      <c r="D4927" s="308"/>
      <c r="E4927" s="291"/>
      <c r="F4927" s="291"/>
      <c r="G4927" s="291"/>
      <c r="H4927" s="287"/>
      <c r="I4927" s="211"/>
      <c r="J4927" s="211"/>
      <c r="K4927" s="288"/>
    </row>
    <row r="4928" spans="4:11" x14ac:dyDescent="0.2">
      <c r="D4928" s="308"/>
      <c r="E4928" s="291"/>
      <c r="F4928" s="291"/>
      <c r="G4928" s="291"/>
      <c r="H4928" s="287"/>
      <c r="I4928" s="211"/>
      <c r="J4928" s="211"/>
      <c r="K4928" s="288"/>
    </row>
    <row r="4929" spans="4:11" x14ac:dyDescent="0.2">
      <c r="D4929" s="308"/>
      <c r="E4929" s="291"/>
      <c r="F4929" s="291"/>
      <c r="G4929" s="291"/>
      <c r="H4929" s="287"/>
      <c r="I4929" s="211"/>
      <c r="J4929" s="211"/>
      <c r="K4929" s="288"/>
    </row>
    <row r="4930" spans="4:11" x14ac:dyDescent="0.2">
      <c r="D4930" s="308"/>
      <c r="E4930" s="291"/>
      <c r="F4930" s="291"/>
      <c r="G4930" s="291"/>
      <c r="H4930" s="287"/>
      <c r="I4930" s="211"/>
      <c r="J4930" s="211"/>
      <c r="K4930" s="288"/>
    </row>
    <row r="4931" spans="4:11" x14ac:dyDescent="0.2">
      <c r="D4931" s="308"/>
      <c r="E4931" s="291"/>
      <c r="F4931" s="291"/>
      <c r="G4931" s="291"/>
      <c r="H4931" s="287"/>
      <c r="I4931" s="211"/>
      <c r="J4931" s="211"/>
      <c r="K4931" s="288"/>
    </row>
    <row r="4932" spans="4:11" x14ac:dyDescent="0.2">
      <c r="D4932" s="308"/>
      <c r="E4932" s="291"/>
      <c r="F4932" s="291"/>
      <c r="G4932" s="291"/>
      <c r="H4932" s="287"/>
      <c r="I4932" s="211"/>
      <c r="J4932" s="211"/>
      <c r="K4932" s="288"/>
    </row>
    <row r="4933" spans="4:11" x14ac:dyDescent="0.2">
      <c r="D4933" s="308"/>
      <c r="E4933" s="291"/>
      <c r="F4933" s="291"/>
      <c r="G4933" s="291"/>
      <c r="H4933" s="287"/>
      <c r="I4933" s="211"/>
      <c r="J4933" s="211"/>
      <c r="K4933" s="288"/>
    </row>
    <row r="4934" spans="4:11" x14ac:dyDescent="0.2">
      <c r="D4934" s="308"/>
      <c r="E4934" s="291"/>
      <c r="F4934" s="291"/>
      <c r="G4934" s="291"/>
      <c r="H4934" s="287"/>
      <c r="I4934" s="211"/>
      <c r="J4934" s="211"/>
      <c r="K4934" s="288"/>
    </row>
    <row r="4935" spans="4:11" x14ac:dyDescent="0.2">
      <c r="D4935" s="308"/>
      <c r="E4935" s="291"/>
      <c r="F4935" s="291"/>
      <c r="G4935" s="291"/>
      <c r="H4935" s="287"/>
      <c r="I4935" s="211"/>
      <c r="J4935" s="211"/>
      <c r="K4935" s="288"/>
    </row>
    <row r="4936" spans="4:11" x14ac:dyDescent="0.2">
      <c r="D4936" s="308"/>
      <c r="E4936" s="291"/>
      <c r="F4936" s="291"/>
      <c r="G4936" s="291"/>
      <c r="H4936" s="287"/>
      <c r="I4936" s="211"/>
      <c r="J4936" s="211"/>
      <c r="K4936" s="288"/>
    </row>
    <row r="4937" spans="4:11" x14ac:dyDescent="0.2">
      <c r="D4937" s="308"/>
      <c r="E4937" s="291"/>
      <c r="F4937" s="291"/>
      <c r="G4937" s="291"/>
      <c r="H4937" s="287"/>
      <c r="I4937" s="211"/>
      <c r="J4937" s="211"/>
      <c r="K4937" s="288"/>
    </row>
    <row r="4938" spans="4:11" x14ac:dyDescent="0.2">
      <c r="D4938" s="308"/>
      <c r="E4938" s="291"/>
      <c r="F4938" s="291"/>
      <c r="G4938" s="291"/>
      <c r="H4938" s="287"/>
      <c r="I4938" s="211"/>
      <c r="J4938" s="211"/>
      <c r="K4938" s="288"/>
    </row>
    <row r="4939" spans="4:11" x14ac:dyDescent="0.2">
      <c r="D4939" s="308"/>
      <c r="E4939" s="291"/>
      <c r="F4939" s="291"/>
      <c r="G4939" s="291"/>
      <c r="H4939" s="287"/>
      <c r="I4939" s="211"/>
      <c r="J4939" s="211"/>
      <c r="K4939" s="288"/>
    </row>
    <row r="4940" spans="4:11" x14ac:dyDescent="0.2">
      <c r="D4940" s="308"/>
      <c r="E4940" s="291"/>
      <c r="F4940" s="291"/>
      <c r="G4940" s="291"/>
      <c r="H4940" s="287"/>
      <c r="I4940" s="211"/>
      <c r="J4940" s="211"/>
      <c r="K4940" s="288"/>
    </row>
    <row r="4941" spans="4:11" x14ac:dyDescent="0.2">
      <c r="D4941" s="308"/>
      <c r="E4941" s="291"/>
      <c r="F4941" s="291"/>
      <c r="G4941" s="291"/>
      <c r="H4941" s="287"/>
      <c r="I4941" s="211"/>
      <c r="J4941" s="211"/>
      <c r="K4941" s="288"/>
    </row>
    <row r="4942" spans="4:11" x14ac:dyDescent="0.2">
      <c r="D4942" s="308"/>
      <c r="E4942" s="291"/>
      <c r="F4942" s="291"/>
      <c r="G4942" s="291"/>
      <c r="H4942" s="287"/>
      <c r="I4942" s="211"/>
      <c r="J4942" s="211"/>
      <c r="K4942" s="288"/>
    </row>
    <row r="4943" spans="4:11" x14ac:dyDescent="0.2">
      <c r="D4943" s="308"/>
      <c r="E4943" s="291"/>
      <c r="F4943" s="291"/>
      <c r="G4943" s="291"/>
      <c r="H4943" s="287"/>
      <c r="I4943" s="211"/>
      <c r="J4943" s="211"/>
      <c r="K4943" s="288"/>
    </row>
    <row r="4944" spans="4:11" x14ac:dyDescent="0.2">
      <c r="D4944" s="308"/>
      <c r="E4944" s="291"/>
      <c r="F4944" s="291"/>
      <c r="G4944" s="291"/>
      <c r="H4944" s="287"/>
      <c r="I4944" s="211"/>
      <c r="J4944" s="211"/>
      <c r="K4944" s="288"/>
    </row>
    <row r="4945" spans="4:11" x14ac:dyDescent="0.2">
      <c r="D4945" s="308"/>
      <c r="E4945" s="291"/>
      <c r="F4945" s="291"/>
      <c r="G4945" s="291"/>
      <c r="H4945" s="287"/>
      <c r="I4945" s="211"/>
      <c r="J4945" s="211"/>
      <c r="K4945" s="288"/>
    </row>
    <row r="4946" spans="4:11" x14ac:dyDescent="0.2">
      <c r="D4946" s="308"/>
      <c r="E4946" s="291"/>
      <c r="F4946" s="291"/>
      <c r="G4946" s="291"/>
      <c r="H4946" s="287"/>
      <c r="I4946" s="211"/>
      <c r="J4946" s="211"/>
      <c r="K4946" s="288"/>
    </row>
    <row r="4947" spans="4:11" x14ac:dyDescent="0.2">
      <c r="D4947" s="308"/>
      <c r="E4947" s="291"/>
      <c r="F4947" s="291"/>
      <c r="G4947" s="291"/>
      <c r="H4947" s="287"/>
      <c r="I4947" s="211"/>
      <c r="J4947" s="211"/>
      <c r="K4947" s="288"/>
    </row>
    <row r="4948" spans="4:11" x14ac:dyDescent="0.2">
      <c r="D4948" s="308"/>
      <c r="E4948" s="291"/>
      <c r="F4948" s="291"/>
      <c r="G4948" s="291"/>
      <c r="H4948" s="287"/>
      <c r="I4948" s="211"/>
      <c r="J4948" s="211"/>
      <c r="K4948" s="288"/>
    </row>
    <row r="4949" spans="4:11" x14ac:dyDescent="0.2">
      <c r="D4949" s="308"/>
      <c r="E4949" s="291"/>
      <c r="F4949" s="291"/>
      <c r="G4949" s="291"/>
      <c r="H4949" s="287"/>
      <c r="I4949" s="211"/>
      <c r="J4949" s="211"/>
      <c r="K4949" s="288"/>
    </row>
    <row r="4950" spans="4:11" x14ac:dyDescent="0.2">
      <c r="D4950" s="308"/>
      <c r="E4950" s="291"/>
      <c r="F4950" s="291"/>
      <c r="G4950" s="291"/>
      <c r="H4950" s="287"/>
      <c r="I4950" s="211"/>
      <c r="J4950" s="211"/>
      <c r="K4950" s="288"/>
    </row>
    <row r="4951" spans="4:11" x14ac:dyDescent="0.2">
      <c r="D4951" s="308"/>
      <c r="E4951" s="291"/>
      <c r="F4951" s="291"/>
      <c r="G4951" s="291"/>
      <c r="H4951" s="287"/>
      <c r="I4951" s="211"/>
      <c r="J4951" s="211"/>
      <c r="K4951" s="288"/>
    </row>
    <row r="4952" spans="4:11" x14ac:dyDescent="0.2">
      <c r="D4952" s="308"/>
      <c r="E4952" s="291"/>
      <c r="F4952" s="291"/>
      <c r="G4952" s="291"/>
      <c r="H4952" s="287"/>
      <c r="I4952" s="211"/>
      <c r="J4952" s="211"/>
      <c r="K4952" s="288"/>
    </row>
    <row r="4953" spans="4:11" x14ac:dyDescent="0.2">
      <c r="D4953" s="308"/>
      <c r="E4953" s="291"/>
      <c r="F4953" s="291"/>
      <c r="G4953" s="291"/>
      <c r="H4953" s="287"/>
      <c r="I4953" s="211"/>
      <c r="J4953" s="211"/>
      <c r="K4953" s="288"/>
    </row>
    <row r="4954" spans="4:11" x14ac:dyDescent="0.2">
      <c r="D4954" s="308"/>
      <c r="E4954" s="291"/>
      <c r="F4954" s="291"/>
      <c r="G4954" s="291"/>
      <c r="H4954" s="287"/>
      <c r="I4954" s="211"/>
      <c r="J4954" s="211"/>
      <c r="K4954" s="288"/>
    </row>
    <row r="4955" spans="4:11" x14ac:dyDescent="0.2">
      <c r="D4955" s="308"/>
      <c r="E4955" s="291"/>
      <c r="F4955" s="291"/>
      <c r="G4955" s="291"/>
      <c r="H4955" s="287"/>
      <c r="I4955" s="211"/>
      <c r="J4955" s="211"/>
      <c r="K4955" s="288"/>
    </row>
    <row r="4956" spans="4:11" x14ac:dyDescent="0.2">
      <c r="D4956" s="308"/>
      <c r="E4956" s="291"/>
      <c r="F4956" s="291"/>
      <c r="G4956" s="291"/>
      <c r="H4956" s="287"/>
      <c r="I4956" s="211"/>
      <c r="J4956" s="211"/>
      <c r="K4956" s="288"/>
    </row>
    <row r="4957" spans="4:11" x14ac:dyDescent="0.2">
      <c r="D4957" s="308"/>
      <c r="E4957" s="291"/>
      <c r="F4957" s="291"/>
      <c r="G4957" s="291"/>
      <c r="H4957" s="287"/>
      <c r="I4957" s="211"/>
      <c r="J4957" s="211"/>
      <c r="K4957" s="288"/>
    </row>
    <row r="4958" spans="4:11" x14ac:dyDescent="0.2">
      <c r="D4958" s="308"/>
      <c r="E4958" s="291"/>
      <c r="F4958" s="291"/>
      <c r="G4958" s="291"/>
      <c r="H4958" s="287"/>
      <c r="I4958" s="211"/>
      <c r="J4958" s="211"/>
      <c r="K4958" s="288"/>
    </row>
    <row r="4959" spans="4:11" x14ac:dyDescent="0.2">
      <c r="D4959" s="308"/>
      <c r="E4959" s="291"/>
      <c r="F4959" s="291"/>
      <c r="G4959" s="291"/>
      <c r="H4959" s="287"/>
      <c r="I4959" s="211"/>
      <c r="J4959" s="211"/>
      <c r="K4959" s="288"/>
    </row>
    <row r="4960" spans="4:11" x14ac:dyDescent="0.2">
      <c r="D4960" s="308"/>
      <c r="E4960" s="291"/>
      <c r="F4960" s="291"/>
      <c r="G4960" s="291"/>
      <c r="H4960" s="287"/>
      <c r="I4960" s="211"/>
      <c r="J4960" s="211"/>
      <c r="K4960" s="288"/>
    </row>
    <row r="4961" spans="4:11" x14ac:dyDescent="0.2">
      <c r="D4961" s="308"/>
      <c r="E4961" s="291"/>
      <c r="F4961" s="291"/>
      <c r="G4961" s="291"/>
      <c r="H4961" s="287"/>
      <c r="I4961" s="211"/>
      <c r="J4961" s="211"/>
      <c r="K4961" s="288"/>
    </row>
    <row r="4962" spans="4:11" x14ac:dyDescent="0.2">
      <c r="D4962" s="308"/>
      <c r="E4962" s="291"/>
      <c r="F4962" s="291"/>
      <c r="G4962" s="291"/>
      <c r="H4962" s="287"/>
      <c r="I4962" s="211"/>
      <c r="J4962" s="211"/>
      <c r="K4962" s="288"/>
    </row>
    <row r="4963" spans="4:11" x14ac:dyDescent="0.2">
      <c r="D4963" s="308"/>
      <c r="E4963" s="291"/>
      <c r="F4963" s="291"/>
      <c r="G4963" s="291"/>
      <c r="H4963" s="287"/>
      <c r="I4963" s="211"/>
      <c r="J4963" s="211"/>
      <c r="K4963" s="288"/>
    </row>
    <row r="4964" spans="4:11" x14ac:dyDescent="0.2">
      <c r="D4964" s="308"/>
      <c r="E4964" s="291"/>
      <c r="F4964" s="291"/>
      <c r="G4964" s="291"/>
      <c r="H4964" s="287"/>
      <c r="I4964" s="211"/>
      <c r="J4964" s="211"/>
      <c r="K4964" s="288"/>
    </row>
    <row r="4965" spans="4:11" x14ac:dyDescent="0.2">
      <c r="D4965" s="308"/>
      <c r="E4965" s="291"/>
      <c r="F4965" s="291"/>
      <c r="G4965" s="291"/>
      <c r="H4965" s="287"/>
      <c r="I4965" s="211"/>
      <c r="J4965" s="211"/>
      <c r="K4965" s="288"/>
    </row>
    <row r="4966" spans="4:11" x14ac:dyDescent="0.2">
      <c r="D4966" s="308"/>
      <c r="E4966" s="291"/>
      <c r="F4966" s="291"/>
      <c r="G4966" s="291"/>
      <c r="H4966" s="287"/>
      <c r="I4966" s="211"/>
      <c r="J4966" s="211"/>
      <c r="K4966" s="288"/>
    </row>
    <row r="4967" spans="4:11" x14ac:dyDescent="0.2">
      <c r="D4967" s="308"/>
      <c r="E4967" s="291"/>
      <c r="F4967" s="291"/>
      <c r="G4967" s="291"/>
      <c r="H4967" s="287"/>
      <c r="I4967" s="211"/>
      <c r="J4967" s="211"/>
      <c r="K4967" s="288"/>
    </row>
    <row r="4968" spans="4:11" x14ac:dyDescent="0.2">
      <c r="D4968" s="308"/>
      <c r="E4968" s="291"/>
      <c r="F4968" s="291"/>
      <c r="G4968" s="291"/>
      <c r="H4968" s="287"/>
      <c r="I4968" s="211"/>
      <c r="J4968" s="211"/>
      <c r="K4968" s="288"/>
    </row>
    <row r="4969" spans="4:11" x14ac:dyDescent="0.2">
      <c r="D4969" s="308"/>
      <c r="E4969" s="291"/>
      <c r="F4969" s="291"/>
      <c r="G4969" s="291"/>
      <c r="H4969" s="287"/>
      <c r="I4969" s="211"/>
      <c r="J4969" s="211"/>
      <c r="K4969" s="288"/>
    </row>
    <row r="4970" spans="4:11" x14ac:dyDescent="0.2">
      <c r="D4970" s="308"/>
      <c r="E4970" s="291"/>
      <c r="F4970" s="291"/>
      <c r="G4970" s="291"/>
      <c r="H4970" s="287"/>
      <c r="I4970" s="211"/>
      <c r="J4970" s="211"/>
      <c r="K4970" s="288"/>
    </row>
    <row r="4971" spans="4:11" x14ac:dyDescent="0.2">
      <c r="D4971" s="308"/>
      <c r="E4971" s="291"/>
      <c r="F4971" s="291"/>
      <c r="G4971" s="291"/>
      <c r="H4971" s="287"/>
      <c r="I4971" s="211"/>
      <c r="J4971" s="211"/>
      <c r="K4971" s="288"/>
    </row>
    <row r="4972" spans="4:11" x14ac:dyDescent="0.2">
      <c r="D4972" s="308"/>
      <c r="E4972" s="291"/>
      <c r="F4972" s="291"/>
      <c r="G4972" s="291"/>
      <c r="H4972" s="287"/>
      <c r="I4972" s="211"/>
      <c r="J4972" s="211"/>
      <c r="K4972" s="288"/>
    </row>
    <row r="4973" spans="4:11" x14ac:dyDescent="0.2">
      <c r="D4973" s="308"/>
      <c r="E4973" s="291"/>
      <c r="F4973" s="291"/>
      <c r="G4973" s="291"/>
      <c r="H4973" s="287"/>
      <c r="I4973" s="211"/>
      <c r="J4973" s="211"/>
      <c r="K4973" s="288"/>
    </row>
    <row r="4974" spans="4:11" x14ac:dyDescent="0.2">
      <c r="D4974" s="308"/>
      <c r="E4974" s="291"/>
      <c r="F4974" s="291"/>
      <c r="G4974" s="291"/>
      <c r="H4974" s="287"/>
      <c r="I4974" s="211"/>
      <c r="J4974" s="211"/>
      <c r="K4974" s="288"/>
    </row>
    <row r="4975" spans="4:11" x14ac:dyDescent="0.2">
      <c r="D4975" s="308"/>
      <c r="E4975" s="291"/>
      <c r="F4975" s="291"/>
      <c r="G4975" s="291"/>
      <c r="H4975" s="287"/>
      <c r="I4975" s="211"/>
      <c r="J4975" s="211"/>
      <c r="K4975" s="288"/>
    </row>
    <row r="4976" spans="4:11" x14ac:dyDescent="0.2">
      <c r="D4976" s="308"/>
      <c r="E4976" s="291"/>
      <c r="F4976" s="291"/>
      <c r="G4976" s="291"/>
      <c r="H4976" s="287"/>
      <c r="I4976" s="211"/>
      <c r="J4976" s="211"/>
      <c r="K4976" s="288"/>
    </row>
    <row r="4977" spans="4:11" x14ac:dyDescent="0.2">
      <c r="D4977" s="308"/>
      <c r="E4977" s="291"/>
      <c r="F4977" s="291"/>
      <c r="G4977" s="291"/>
      <c r="H4977" s="287"/>
      <c r="I4977" s="211"/>
      <c r="J4977" s="211"/>
      <c r="K4977" s="288"/>
    </row>
    <row r="4978" spans="4:11" x14ac:dyDescent="0.2">
      <c r="D4978" s="308"/>
      <c r="E4978" s="291"/>
      <c r="F4978" s="291"/>
      <c r="G4978" s="291"/>
      <c r="H4978" s="287"/>
      <c r="I4978" s="211"/>
      <c r="J4978" s="211"/>
      <c r="K4978" s="288"/>
    </row>
    <row r="4979" spans="4:11" x14ac:dyDescent="0.2">
      <c r="D4979" s="308"/>
      <c r="E4979" s="291"/>
      <c r="F4979" s="291"/>
      <c r="G4979" s="291"/>
      <c r="H4979" s="287"/>
      <c r="I4979" s="211"/>
      <c r="J4979" s="211"/>
      <c r="K4979" s="288"/>
    </row>
    <row r="4980" spans="4:11" x14ac:dyDescent="0.2">
      <c r="D4980" s="308"/>
      <c r="E4980" s="291"/>
      <c r="F4980" s="291"/>
      <c r="G4980" s="291"/>
      <c r="H4980" s="287"/>
      <c r="I4980" s="211"/>
      <c r="J4980" s="211"/>
      <c r="K4980" s="288"/>
    </row>
    <row r="4981" spans="4:11" x14ac:dyDescent="0.2">
      <c r="D4981" s="308"/>
      <c r="E4981" s="291"/>
      <c r="F4981" s="291"/>
      <c r="G4981" s="291"/>
      <c r="H4981" s="287"/>
      <c r="I4981" s="211"/>
      <c r="J4981" s="211"/>
      <c r="K4981" s="288"/>
    </row>
    <row r="4982" spans="4:11" x14ac:dyDescent="0.2">
      <c r="D4982" s="308"/>
      <c r="E4982" s="291"/>
      <c r="F4982" s="291"/>
      <c r="G4982" s="291"/>
      <c r="H4982" s="287"/>
      <c r="I4982" s="211"/>
      <c r="J4982" s="211"/>
      <c r="K4982" s="288"/>
    </row>
    <row r="4983" spans="4:11" x14ac:dyDescent="0.2">
      <c r="D4983" s="308"/>
      <c r="E4983" s="291"/>
      <c r="F4983" s="291"/>
      <c r="G4983" s="291"/>
      <c r="H4983" s="287"/>
      <c r="I4983" s="211"/>
      <c r="J4983" s="211"/>
      <c r="K4983" s="288"/>
    </row>
    <row r="4984" spans="4:11" x14ac:dyDescent="0.2">
      <c r="D4984" s="308"/>
      <c r="E4984" s="291"/>
      <c r="F4984" s="291"/>
      <c r="G4984" s="291"/>
      <c r="H4984" s="287"/>
      <c r="I4984" s="211"/>
      <c r="J4984" s="211"/>
      <c r="K4984" s="288"/>
    </row>
    <row r="4985" spans="4:11" x14ac:dyDescent="0.2">
      <c r="D4985" s="308"/>
      <c r="E4985" s="291"/>
      <c r="F4985" s="291"/>
      <c r="G4985" s="291"/>
      <c r="H4985" s="287"/>
      <c r="I4985" s="211"/>
      <c r="J4985" s="211"/>
      <c r="K4985" s="288"/>
    </row>
    <row r="4986" spans="4:11" x14ac:dyDescent="0.2">
      <c r="D4986" s="308"/>
      <c r="E4986" s="291"/>
      <c r="F4986" s="291"/>
      <c r="G4986" s="291"/>
      <c r="H4986" s="287"/>
      <c r="I4986" s="211"/>
      <c r="J4986" s="211"/>
      <c r="K4986" s="288"/>
    </row>
    <row r="4987" spans="4:11" x14ac:dyDescent="0.2">
      <c r="D4987" s="308"/>
      <c r="E4987" s="291"/>
      <c r="F4987" s="291"/>
      <c r="G4987" s="291"/>
      <c r="H4987" s="287"/>
      <c r="I4987" s="211"/>
      <c r="J4987" s="211"/>
      <c r="K4987" s="288"/>
    </row>
    <row r="4988" spans="4:11" x14ac:dyDescent="0.2">
      <c r="D4988" s="308"/>
      <c r="E4988" s="291"/>
      <c r="F4988" s="291"/>
      <c r="G4988" s="291"/>
      <c r="H4988" s="287"/>
      <c r="I4988" s="211"/>
      <c r="J4988" s="211"/>
      <c r="K4988" s="288"/>
    </row>
    <row r="4989" spans="4:11" x14ac:dyDescent="0.2">
      <c r="D4989" s="308"/>
      <c r="E4989" s="291"/>
      <c r="F4989" s="291"/>
      <c r="G4989" s="291"/>
      <c r="H4989" s="287"/>
      <c r="I4989" s="211"/>
      <c r="J4989" s="211"/>
      <c r="K4989" s="288"/>
    </row>
    <row r="4990" spans="4:11" x14ac:dyDescent="0.2">
      <c r="D4990" s="308"/>
      <c r="E4990" s="291"/>
      <c r="F4990" s="291"/>
      <c r="G4990" s="291"/>
      <c r="H4990" s="287"/>
      <c r="I4990" s="211"/>
      <c r="J4990" s="211"/>
      <c r="K4990" s="288"/>
    </row>
    <row r="4991" spans="4:11" x14ac:dyDescent="0.2">
      <c r="D4991" s="308"/>
      <c r="E4991" s="291"/>
      <c r="F4991" s="291"/>
      <c r="G4991" s="291"/>
      <c r="H4991" s="287"/>
      <c r="I4991" s="211"/>
      <c r="J4991" s="211"/>
      <c r="K4991" s="288"/>
    </row>
    <row r="4992" spans="4:11" x14ac:dyDescent="0.2">
      <c r="D4992" s="308"/>
      <c r="E4992" s="291"/>
      <c r="F4992" s="291"/>
      <c r="G4992" s="291"/>
      <c r="H4992" s="287"/>
      <c r="I4992" s="211"/>
      <c r="J4992" s="211"/>
      <c r="K4992" s="288"/>
    </row>
    <row r="4993" spans="4:11" x14ac:dyDescent="0.2">
      <c r="D4993" s="308"/>
      <c r="E4993" s="291"/>
      <c r="F4993" s="291"/>
      <c r="G4993" s="291"/>
      <c r="H4993" s="287"/>
      <c r="I4993" s="211"/>
      <c r="J4993" s="211"/>
      <c r="K4993" s="288"/>
    </row>
    <row r="4994" spans="4:11" x14ac:dyDescent="0.2">
      <c r="D4994" s="308"/>
      <c r="E4994" s="291"/>
      <c r="F4994" s="291"/>
      <c r="G4994" s="291"/>
      <c r="H4994" s="287"/>
      <c r="I4994" s="211"/>
      <c r="J4994" s="211"/>
      <c r="K4994" s="288"/>
    </row>
    <row r="4995" spans="4:11" x14ac:dyDescent="0.2">
      <c r="D4995" s="308"/>
      <c r="E4995" s="291"/>
      <c r="F4995" s="291"/>
      <c r="G4995" s="291"/>
      <c r="H4995" s="287"/>
      <c r="I4995" s="211"/>
      <c r="J4995" s="211"/>
      <c r="K4995" s="288"/>
    </row>
    <row r="4996" spans="4:11" x14ac:dyDescent="0.2">
      <c r="D4996" s="308"/>
      <c r="E4996" s="291"/>
      <c r="F4996" s="291"/>
      <c r="G4996" s="291"/>
      <c r="H4996" s="287"/>
      <c r="I4996" s="211"/>
      <c r="J4996" s="211"/>
      <c r="K4996" s="288"/>
    </row>
    <row r="4997" spans="4:11" x14ac:dyDescent="0.2">
      <c r="D4997" s="308"/>
      <c r="E4997" s="291"/>
      <c r="F4997" s="291"/>
      <c r="G4997" s="291"/>
      <c r="H4997" s="287"/>
      <c r="I4997" s="211"/>
      <c r="J4997" s="211"/>
      <c r="K4997" s="288"/>
    </row>
    <row r="4998" spans="4:11" x14ac:dyDescent="0.2">
      <c r="D4998" s="308"/>
      <c r="E4998" s="291"/>
      <c r="F4998" s="291"/>
      <c r="G4998" s="291"/>
      <c r="H4998" s="287"/>
      <c r="I4998" s="211"/>
      <c r="J4998" s="211"/>
      <c r="K4998" s="288"/>
    </row>
    <row r="4999" spans="4:11" x14ac:dyDescent="0.2">
      <c r="D4999" s="308"/>
      <c r="E4999" s="291"/>
      <c r="F4999" s="291"/>
      <c r="G4999" s="291"/>
      <c r="H4999" s="287"/>
      <c r="I4999" s="211"/>
      <c r="J4999" s="211"/>
      <c r="K4999" s="288"/>
    </row>
    <row r="5000" spans="4:11" x14ac:dyDescent="0.2">
      <c r="D5000" s="308"/>
      <c r="E5000" s="291"/>
      <c r="F5000" s="291"/>
      <c r="G5000" s="291"/>
      <c r="H5000" s="287"/>
      <c r="I5000" s="211"/>
      <c r="J5000" s="211"/>
      <c r="K5000" s="288"/>
    </row>
    <row r="5001" spans="4:11" x14ac:dyDescent="0.2">
      <c r="E5001" s="282"/>
      <c r="F5001" s="282"/>
      <c r="G5001" s="282"/>
      <c r="I5001" s="306"/>
      <c r="J5001" s="306"/>
    </row>
  </sheetData>
  <conditionalFormatting sqref="C9:J5000">
    <cfRule type="expression" dxfId="10" priority="4">
      <formula>AND(ISBLANK($B10),ISNUMBER($B9))</formula>
    </cfRule>
  </conditionalFormatting>
  <conditionalFormatting sqref="B9:B5000">
    <cfRule type="expression" dxfId="9" priority="5">
      <formula>AND(ISBLANK($B10),ISNUMBER($B9))</formula>
    </cfRule>
    <cfRule type="expression" dxfId="8" priority="6">
      <formula>ISNUMBER($B9)</formula>
    </cfRule>
  </conditionalFormatting>
  <conditionalFormatting sqref="K9:K5000">
    <cfRule type="expression" dxfId="7" priority="7">
      <formula>AND(ISBLANK($B10),ISNUMBER($B9))</formula>
    </cfRule>
    <cfRule type="expression" dxfId="6" priority="8">
      <formula>ISNUMBER($B9)</formula>
    </cfRule>
  </conditionalFormatting>
  <conditionalFormatting sqref="E7">
    <cfRule type="expression" dxfId="5" priority="3" stopIfTrue="1">
      <formula>ISBLANK(E7)</formula>
    </cfRule>
  </conditionalFormatting>
  <conditionalFormatting sqref="F7">
    <cfRule type="expression" dxfId="4" priority="2" stopIfTrue="1">
      <formula>ISBLANK(F7)</formula>
    </cfRule>
  </conditionalFormatting>
  <conditionalFormatting sqref="G7">
    <cfRule type="expression" dxfId="3" priority="1" stopIfTrue="1">
      <formula>ISBLANK(G7)</formula>
    </cfRule>
  </conditionalFormatting>
  <pageMargins left="0.78740157480314965" right="0.78740157480314965" top="0.98425196850393704" bottom="0.78740157480314965" header="0.51181102362204722" footer="0.51181102362204722"/>
  <pageSetup paperSize="9" scale="95" fitToHeight="0" orientation="landscape"/>
  <headerFooter scaleWithDoc="0" alignWithMargins="0">
    <oddHeader>&amp;L&amp;F&amp;R&amp;A</oddHeader>
    <oddFooter>&amp;C&amp;P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H39"/>
  <sheetViews>
    <sheetView showGridLines="0" workbookViewId="0">
      <selection activeCell="A87" sqref="A87"/>
    </sheetView>
  </sheetViews>
  <sheetFormatPr baseColWidth="10" defaultColWidth="9.140625" defaultRowHeight="12.75" x14ac:dyDescent="0.2"/>
  <cols>
    <col min="1" max="1" width="1.42578125" customWidth="1"/>
    <col min="2" max="2" width="16.85546875" customWidth="1"/>
    <col min="3" max="8" width="15.7109375" customWidth="1"/>
  </cols>
  <sheetData>
    <row r="1" spans="1:8" ht="23.25" customHeight="1" x14ac:dyDescent="0.35">
      <c r="B1" s="7" t="str">
        <f>DFIE!B166</f>
        <v>Auszahlungen SLA F 2019</v>
      </c>
      <c r="F1" s="323"/>
      <c r="G1" s="345"/>
    </row>
    <row r="3" spans="1:8" ht="0.75" customHeight="1" x14ac:dyDescent="0.2"/>
    <row r="4" spans="1:8" ht="0.75" customHeight="1" x14ac:dyDescent="0.2"/>
    <row r="5" spans="1:8" ht="12" customHeight="1" x14ac:dyDescent="0.2">
      <c r="A5" s="11"/>
      <c r="B5" s="329" t="str">
        <f>DFIE!B49</f>
        <v>Spalte</v>
      </c>
      <c r="C5" s="240" t="s">
        <v>49</v>
      </c>
      <c r="D5" s="240" t="s">
        <v>50</v>
      </c>
      <c r="E5" s="240" t="s">
        <v>58</v>
      </c>
      <c r="F5" s="240" t="s">
        <v>52</v>
      </c>
      <c r="G5" s="240" t="s">
        <v>53</v>
      </c>
      <c r="H5" s="241" t="s">
        <v>54</v>
      </c>
    </row>
    <row r="6" spans="1:8" ht="12" customHeight="1" x14ac:dyDescent="0.2">
      <c r="B6" s="329" t="str">
        <f>DFIE!B50</f>
        <v>Formel</v>
      </c>
      <c r="C6" s="252"/>
      <c r="D6" s="252"/>
      <c r="E6" s="90" t="s">
        <v>72</v>
      </c>
      <c r="F6" s="330" t="str">
        <f>DFIE!$B$173</f>
        <v>E - E[Min]</v>
      </c>
      <c r="G6" s="253" t="str">
        <f>DFIE!$B$174</f>
        <v>C * (F - F[MW])</v>
      </c>
      <c r="H6" s="331" t="str">
        <f>DFIE!$B$175</f>
        <v>G / G[Schweiz] * Dot</v>
      </c>
    </row>
    <row r="7" spans="1:8" ht="40.5" customHeight="1" x14ac:dyDescent="0.2">
      <c r="A7" s="131"/>
      <c r="B7" s="122"/>
      <c r="C7" s="118" t="str">
        <f>DFIE!$B$167</f>
        <v>Ständige
Wohnbe-
völkerung</v>
      </c>
      <c r="D7" s="118" t="str">
        <f>DFIE!$B$168</f>
        <v>Summe
Gemeinde-
indikatoren</v>
      </c>
      <c r="E7" s="118" t="str">
        <f>DFIE!$B$169</f>
        <v>Kernstadt-
indikator</v>
      </c>
      <c r="F7" s="118" t="str">
        <f>DFIE!$B$170</f>
        <v>Masszahl
Lasten</v>
      </c>
      <c r="G7" s="118" t="str">
        <f>DFIE!$B$171</f>
        <v>Massgebende
Sonderlasten</v>
      </c>
      <c r="H7" s="125" t="str">
        <f>DFIE!$B$172</f>
        <v>Auszahlung
SLA F</v>
      </c>
    </row>
    <row r="8" spans="1:8" ht="12.75" customHeight="1" x14ac:dyDescent="0.2">
      <c r="B8" s="329" t="str">
        <f>DFIE!B52</f>
        <v>Einheit</v>
      </c>
      <c r="C8" s="73" t="str">
        <f>DFIE!B56</f>
        <v>Anzahl</v>
      </c>
      <c r="D8" s="73"/>
      <c r="E8" s="332"/>
      <c r="F8" s="333"/>
      <c r="G8" s="250"/>
      <c r="H8" s="334" t="str">
        <f>DFIE!$B$54</f>
        <v>CHF</v>
      </c>
    </row>
    <row r="9" spans="1:8" x14ac:dyDescent="0.2">
      <c r="A9" s="72"/>
      <c r="B9" s="312" t="str">
        <f>DFIE!$B22</f>
        <v>Zürich</v>
      </c>
      <c r="C9" s="320">
        <f>SUMIF(SLA_F_1!$B$9:$B$5000,1,SLA_F_1!$E$9:$E$5000)</f>
        <v>1487969</v>
      </c>
      <c r="D9" s="320">
        <f>SUMIF(SLA_F_1!$B$9:$B$5000,1,SLA_F_1!$K$9:$K$5000)</f>
        <v>9337345.7528072074</v>
      </c>
      <c r="E9" s="211">
        <f t="shared" ref="E9:E34" si="0">ROUND(D9/C9,3)</f>
        <v>6.2750000000000004</v>
      </c>
      <c r="F9" s="211">
        <f t="shared" ref="F9:F34" si="1">E9-E$37</f>
        <v>6.2210000000000001</v>
      </c>
      <c r="G9" s="335">
        <f>MAX(C9*(F9-F$38),0)</f>
        <v>6863886.5378461545</v>
      </c>
      <c r="H9" s="336">
        <f>G9/G$35*DOT!$J$12</f>
        <v>66163973.414404482</v>
      </c>
    </row>
    <row r="10" spans="1:8" x14ac:dyDescent="0.2">
      <c r="A10" s="72"/>
      <c r="B10" s="341" t="str">
        <f>DFIE!$B23</f>
        <v>Bern</v>
      </c>
      <c r="C10" s="342">
        <f>SUMIF(SLA_F_1!$B$9:$B$5000,2,SLA_F_1!$E$9:$E$5000)</f>
        <v>1026513</v>
      </c>
      <c r="D10" s="342">
        <f>SUMIF(SLA_F_1!$B$9:$B$5000,2,SLA_F_1!$K$9:$K$5000)</f>
        <v>1697872.4100688412</v>
      </c>
      <c r="E10" s="261">
        <f t="shared" si="0"/>
        <v>1.6539999999999999</v>
      </c>
      <c r="F10" s="261">
        <f t="shared" si="1"/>
        <v>1.5999999999999999</v>
      </c>
      <c r="G10" s="343">
        <f t="shared" ref="G10:G34" si="2">MAX(C10*(F10-F$38),0)</f>
        <v>0</v>
      </c>
      <c r="H10" s="344">
        <f>G10/G$35*DOT!$J$12</f>
        <v>0</v>
      </c>
    </row>
    <row r="11" spans="1:8" x14ac:dyDescent="0.2">
      <c r="A11" s="72"/>
      <c r="B11" s="313" t="str">
        <f>DFIE!$B24</f>
        <v>Luzern</v>
      </c>
      <c r="C11" s="321">
        <f>SUMIF(SLA_F_1!$B$9:$B$5000,3,SLA_F_1!$E$9:$E$5000)</f>
        <v>403397</v>
      </c>
      <c r="D11" s="321">
        <f>SUMIF(SLA_F_1!$B$9:$B$5000,3,SLA_F_1!$K$9:$K$5000)</f>
        <v>607304.82628353976</v>
      </c>
      <c r="E11" s="211">
        <f t="shared" si="0"/>
        <v>1.5049999999999999</v>
      </c>
      <c r="F11" s="211">
        <f t="shared" si="1"/>
        <v>1.4509999999999998</v>
      </c>
      <c r="G11" s="337">
        <f t="shared" si="2"/>
        <v>0</v>
      </c>
      <c r="H11" s="338">
        <f>G11/G$35*DOT!$J$12</f>
        <v>0</v>
      </c>
    </row>
    <row r="12" spans="1:8" x14ac:dyDescent="0.2">
      <c r="A12" s="72"/>
      <c r="B12" s="341" t="str">
        <f>DFIE!$B25</f>
        <v>Uri</v>
      </c>
      <c r="C12" s="342">
        <f>SUMIF(SLA_F_1!$B$9:$B$5000,4,SLA_F_1!$E$9:$E$5000)</f>
        <v>36145</v>
      </c>
      <c r="D12" s="342">
        <f>SUMIF(SLA_F_1!$B$9:$B$5000,4,SLA_F_1!$K$9:$K$5000)</f>
        <v>4471.6730255005559</v>
      </c>
      <c r="E12" s="261">
        <f t="shared" si="0"/>
        <v>0.124</v>
      </c>
      <c r="F12" s="261">
        <f t="shared" si="1"/>
        <v>7.0000000000000007E-2</v>
      </c>
      <c r="G12" s="343">
        <f t="shared" si="2"/>
        <v>0</v>
      </c>
      <c r="H12" s="344">
        <f>G12/G$35*DOT!$J$12</f>
        <v>0</v>
      </c>
    </row>
    <row r="13" spans="1:8" x14ac:dyDescent="0.2">
      <c r="A13" s="72"/>
      <c r="B13" s="313" t="str">
        <f>DFIE!$B26</f>
        <v>Schwyz</v>
      </c>
      <c r="C13" s="321">
        <f>SUMIF(SLA_F_1!$B$9:$B$5000,5,SLA_F_1!$E$9:$E$5000)</f>
        <v>155863</v>
      </c>
      <c r="D13" s="321">
        <f>SUMIF(SLA_F_1!$B$9:$B$5000,5,SLA_F_1!$K$9:$K$5000)</f>
        <v>75681.604221313362</v>
      </c>
      <c r="E13" s="211">
        <f t="shared" si="0"/>
        <v>0.48599999999999999</v>
      </c>
      <c r="F13" s="211">
        <f t="shared" si="1"/>
        <v>0.432</v>
      </c>
      <c r="G13" s="337">
        <f t="shared" si="2"/>
        <v>0</v>
      </c>
      <c r="H13" s="338">
        <f>G13/G$35*DOT!$J$12</f>
        <v>0</v>
      </c>
    </row>
    <row r="14" spans="1:8" x14ac:dyDescent="0.2">
      <c r="A14" s="72"/>
      <c r="B14" s="341" t="str">
        <f>DFIE!$B27</f>
        <v>Obwalden</v>
      </c>
      <c r="C14" s="342">
        <f>SUMIF(SLA_F_1!$B$9:$B$5000,6,SLA_F_1!$E$9:$E$5000)</f>
        <v>37378</v>
      </c>
      <c r="D14" s="342">
        <f>SUMIF(SLA_F_1!$B$9:$B$5000,6,SLA_F_1!$K$9:$K$5000)</f>
        <v>5517.9412399719522</v>
      </c>
      <c r="E14" s="261">
        <f t="shared" si="0"/>
        <v>0.14799999999999999</v>
      </c>
      <c r="F14" s="261">
        <f t="shared" si="1"/>
        <v>9.4E-2</v>
      </c>
      <c r="G14" s="343">
        <f t="shared" si="2"/>
        <v>0</v>
      </c>
      <c r="H14" s="344">
        <f>G14/G$35*DOT!$J$12</f>
        <v>0</v>
      </c>
    </row>
    <row r="15" spans="1:8" x14ac:dyDescent="0.2">
      <c r="A15" s="72"/>
      <c r="B15" s="313" t="str">
        <f>DFIE!$B28</f>
        <v>Nidwalden</v>
      </c>
      <c r="C15" s="321">
        <f>SUMIF(SLA_F_1!$B$9:$B$5000,7,SLA_F_1!$E$9:$E$5000)</f>
        <v>42556</v>
      </c>
      <c r="D15" s="321">
        <f>SUMIF(SLA_F_1!$B$9:$B$5000,7,SLA_F_1!$K$9:$K$5000)</f>
        <v>10757.724912635002</v>
      </c>
      <c r="E15" s="211">
        <f t="shared" si="0"/>
        <v>0.253</v>
      </c>
      <c r="F15" s="211">
        <f t="shared" si="1"/>
        <v>0.19900000000000001</v>
      </c>
      <c r="G15" s="337">
        <f t="shared" si="2"/>
        <v>0</v>
      </c>
      <c r="H15" s="338">
        <f>G15/G$35*DOT!$J$12</f>
        <v>0</v>
      </c>
    </row>
    <row r="16" spans="1:8" x14ac:dyDescent="0.2">
      <c r="A16" s="72"/>
      <c r="B16" s="341" t="str">
        <f>DFIE!$B29</f>
        <v>Glarus</v>
      </c>
      <c r="C16" s="342">
        <f>SUMIF(SLA_F_1!$B$9:$B$5000,8,SLA_F_1!$E$9:$E$5000)</f>
        <v>40147</v>
      </c>
      <c r="D16" s="342">
        <f>SUMIF(SLA_F_1!$B$9:$B$5000,8,SLA_F_1!$K$9:$K$5000)</f>
        <v>16652.96931163469</v>
      </c>
      <c r="E16" s="261">
        <f t="shared" si="0"/>
        <v>0.41499999999999998</v>
      </c>
      <c r="F16" s="261">
        <f t="shared" si="1"/>
        <v>0.36099999999999999</v>
      </c>
      <c r="G16" s="343">
        <f t="shared" si="2"/>
        <v>0</v>
      </c>
      <c r="H16" s="344">
        <f>G16/G$35*DOT!$J$12</f>
        <v>0</v>
      </c>
    </row>
    <row r="17" spans="1:8" x14ac:dyDescent="0.2">
      <c r="A17" s="72"/>
      <c r="B17" s="313" t="str">
        <f>DFIE!$B30</f>
        <v>Zug</v>
      </c>
      <c r="C17" s="321">
        <f>SUMIF(SLA_F_1!$B$9:$B$5000,9,SLA_F_1!$E$9:$E$5000)</f>
        <v>123948</v>
      </c>
      <c r="D17" s="321">
        <f>SUMIF(SLA_F_1!$B$9:$B$5000,9,SLA_F_1!$K$9:$K$5000)</f>
        <v>194719.82867205393</v>
      </c>
      <c r="E17" s="211">
        <f t="shared" si="0"/>
        <v>1.571</v>
      </c>
      <c r="F17" s="211">
        <f t="shared" si="1"/>
        <v>1.5169999999999999</v>
      </c>
      <c r="G17" s="337">
        <f t="shared" si="2"/>
        <v>0</v>
      </c>
      <c r="H17" s="338">
        <f>G17/G$35*DOT!$J$12</f>
        <v>0</v>
      </c>
    </row>
    <row r="18" spans="1:8" x14ac:dyDescent="0.2">
      <c r="A18" s="72"/>
      <c r="B18" s="341" t="str">
        <f>DFIE!$B31</f>
        <v>Freiburg</v>
      </c>
      <c r="C18" s="342">
        <f>SUMIF(SLA_F_1!$B$9:$B$5000,10,SLA_F_1!$E$9:$E$5000)</f>
        <v>311914</v>
      </c>
      <c r="D18" s="342">
        <f>SUMIF(SLA_F_1!$B$9:$B$5000,10,SLA_F_1!$K$9:$K$5000)</f>
        <v>207119.10551716684</v>
      </c>
      <c r="E18" s="261">
        <f t="shared" si="0"/>
        <v>0.66400000000000003</v>
      </c>
      <c r="F18" s="261">
        <f t="shared" si="1"/>
        <v>0.61</v>
      </c>
      <c r="G18" s="343">
        <f t="shared" si="2"/>
        <v>0</v>
      </c>
      <c r="H18" s="344">
        <f>G18/G$35*DOT!$J$12</f>
        <v>0</v>
      </c>
    </row>
    <row r="19" spans="1:8" x14ac:dyDescent="0.2">
      <c r="A19" s="72"/>
      <c r="B19" s="313" t="str">
        <f>DFIE!$B32</f>
        <v>Solothurn</v>
      </c>
      <c r="C19" s="321">
        <f>SUMIF(SLA_F_1!$B$9:$B$5000,11,SLA_F_1!$E$9:$E$5000)</f>
        <v>269441</v>
      </c>
      <c r="D19" s="321">
        <f>SUMIF(SLA_F_1!$B$9:$B$5000,11,SLA_F_1!$K$9:$K$5000)</f>
        <v>142662.29139968153</v>
      </c>
      <c r="E19" s="211">
        <f t="shared" si="0"/>
        <v>0.52900000000000003</v>
      </c>
      <c r="F19" s="211">
        <f t="shared" si="1"/>
        <v>0.47500000000000003</v>
      </c>
      <c r="G19" s="337">
        <f t="shared" si="2"/>
        <v>0</v>
      </c>
      <c r="H19" s="338">
        <f>G19/G$35*DOT!$J$12</f>
        <v>0</v>
      </c>
    </row>
    <row r="20" spans="1:8" x14ac:dyDescent="0.2">
      <c r="A20" s="72"/>
      <c r="B20" s="341" t="str">
        <f>DFIE!$B33</f>
        <v>Basel-Stadt</v>
      </c>
      <c r="C20" s="342">
        <f>SUMIF(SLA_F_1!$B$9:$B$5000,12,SLA_F_1!$E$9:$E$5000)</f>
        <v>193070</v>
      </c>
      <c r="D20" s="342">
        <f>SUMIF(SLA_F_1!$B$9:$B$5000,12,SLA_F_1!$K$9:$K$5000)</f>
        <v>2210120.5656800955</v>
      </c>
      <c r="E20" s="261">
        <f t="shared" si="0"/>
        <v>11.446999999999999</v>
      </c>
      <c r="F20" s="261">
        <f t="shared" si="1"/>
        <v>11.392999999999999</v>
      </c>
      <c r="G20" s="343">
        <f t="shared" si="2"/>
        <v>1889175.0984615381</v>
      </c>
      <c r="H20" s="344">
        <f>G20/G$35*DOT!$J$12</f>
        <v>18210576.515296966</v>
      </c>
    </row>
    <row r="21" spans="1:8" x14ac:dyDescent="0.2">
      <c r="A21" s="72"/>
      <c r="B21" s="313" t="str">
        <f>DFIE!$B34</f>
        <v>Basel-Landschaft</v>
      </c>
      <c r="C21" s="321">
        <f>SUMIF(SLA_F_1!$B$9:$B$5000,13,SLA_F_1!$E$9:$E$5000)</f>
        <v>285624</v>
      </c>
      <c r="D21" s="321">
        <f>SUMIF(SLA_F_1!$B$9:$B$5000,13,SLA_F_1!$K$9:$K$5000)</f>
        <v>270627.96367653878</v>
      </c>
      <c r="E21" s="211">
        <f t="shared" si="0"/>
        <v>0.94699999999999995</v>
      </c>
      <c r="F21" s="211">
        <f t="shared" si="1"/>
        <v>0.8929999999999999</v>
      </c>
      <c r="G21" s="337">
        <f t="shared" si="2"/>
        <v>0</v>
      </c>
      <c r="H21" s="338">
        <f>G21/G$35*DOT!$J$12</f>
        <v>0</v>
      </c>
    </row>
    <row r="22" spans="1:8" x14ac:dyDescent="0.2">
      <c r="A22" s="72"/>
      <c r="B22" s="341" t="str">
        <f>DFIE!$B35</f>
        <v>Schaffhausen</v>
      </c>
      <c r="C22" s="342">
        <f>SUMIF(SLA_F_1!$B$9:$B$5000,14,SLA_F_1!$E$9:$E$5000)</f>
        <v>80769</v>
      </c>
      <c r="D22" s="342">
        <f>SUMIF(SLA_F_1!$B$9:$B$5000,14,SLA_F_1!$K$9:$K$5000)</f>
        <v>73920.589370383779</v>
      </c>
      <c r="E22" s="261">
        <f t="shared" si="0"/>
        <v>0.91500000000000004</v>
      </c>
      <c r="F22" s="261">
        <f t="shared" si="1"/>
        <v>0.86099999999999999</v>
      </c>
      <c r="G22" s="343">
        <f t="shared" si="2"/>
        <v>0</v>
      </c>
      <c r="H22" s="344">
        <f>G22/G$35*DOT!$J$12</f>
        <v>0</v>
      </c>
    </row>
    <row r="23" spans="1:8" ht="12.75" customHeight="1" x14ac:dyDescent="0.2">
      <c r="A23" s="72"/>
      <c r="B23" s="313" t="str">
        <f>DFIE!$B36</f>
        <v>Appenzell A.Rh.</v>
      </c>
      <c r="C23" s="321">
        <f>SUMIF(SLA_F_1!$B$9:$B$5000,15,SLA_F_1!$E$9:$E$5000)</f>
        <v>54954</v>
      </c>
      <c r="D23" s="321">
        <f>SUMIF(SLA_F_1!$B$9:$B$5000,15,SLA_F_1!$K$9:$K$5000)</f>
        <v>10465.00127396087</v>
      </c>
      <c r="E23" s="211">
        <f t="shared" si="0"/>
        <v>0.19</v>
      </c>
      <c r="F23" s="211">
        <f t="shared" si="1"/>
        <v>0.13600000000000001</v>
      </c>
      <c r="G23" s="337">
        <f t="shared" si="2"/>
        <v>0</v>
      </c>
      <c r="H23" s="338">
        <f>G23/G$35*DOT!$J$12</f>
        <v>0</v>
      </c>
    </row>
    <row r="24" spans="1:8" x14ac:dyDescent="0.2">
      <c r="A24" s="72"/>
      <c r="B24" s="341" t="str">
        <f>DFIE!$B37</f>
        <v>Appenzell I.Rh.</v>
      </c>
      <c r="C24" s="342">
        <f>SUMIF(SLA_F_1!$B$9:$B$5000,16,SLA_F_1!$E$9:$E$5000)</f>
        <v>16003</v>
      </c>
      <c r="D24" s="342">
        <f>SUMIF(SLA_F_1!$B$9:$B$5000,16,SLA_F_1!$K$9:$K$5000)</f>
        <v>861.70608098395417</v>
      </c>
      <c r="E24" s="261">
        <f t="shared" si="0"/>
        <v>5.3999999999999999E-2</v>
      </c>
      <c r="F24" s="261">
        <f t="shared" si="1"/>
        <v>0</v>
      </c>
      <c r="G24" s="343">
        <f t="shared" si="2"/>
        <v>0</v>
      </c>
      <c r="H24" s="344">
        <f>G24/G$35*DOT!$J$12</f>
        <v>0</v>
      </c>
    </row>
    <row r="25" spans="1:8" x14ac:dyDescent="0.2">
      <c r="A25" s="72"/>
      <c r="B25" s="313" t="str">
        <f>DFIE!$B38</f>
        <v>St. Gallen</v>
      </c>
      <c r="C25" s="321">
        <f>SUMIF(SLA_F_1!$B$9:$B$5000,17,SLA_F_1!$E$9:$E$5000)</f>
        <v>502552</v>
      </c>
      <c r="D25" s="321">
        <f>SUMIF(SLA_F_1!$B$9:$B$5000,17,SLA_F_1!$K$9:$K$5000)</f>
        <v>585285.03784284787</v>
      </c>
      <c r="E25" s="211">
        <f t="shared" si="0"/>
        <v>1.165</v>
      </c>
      <c r="F25" s="211">
        <f t="shared" si="1"/>
        <v>1.111</v>
      </c>
      <c r="G25" s="337">
        <f t="shared" si="2"/>
        <v>0</v>
      </c>
      <c r="H25" s="338">
        <f>G25/G$35*DOT!$J$12</f>
        <v>0</v>
      </c>
    </row>
    <row r="26" spans="1:8" x14ac:dyDescent="0.2">
      <c r="A26" s="72"/>
      <c r="B26" s="341" t="str">
        <f>DFIE!$B39</f>
        <v>Graubünden</v>
      </c>
      <c r="C26" s="342">
        <f>SUMIF(SLA_F_1!$B$9:$B$5000,18,SLA_F_1!$E$9:$E$5000)</f>
        <v>197550</v>
      </c>
      <c r="D26" s="342">
        <f>SUMIF(SLA_F_1!$B$9:$B$5000,18,SLA_F_1!$K$9:$K$5000)</f>
        <v>93932.228317449655</v>
      </c>
      <c r="E26" s="261">
        <f t="shared" si="0"/>
        <v>0.47499999999999998</v>
      </c>
      <c r="F26" s="261">
        <f t="shared" si="1"/>
        <v>0.42099999999999999</v>
      </c>
      <c r="G26" s="343">
        <f t="shared" si="2"/>
        <v>0</v>
      </c>
      <c r="H26" s="344">
        <f>G26/G$35*DOT!$J$12</f>
        <v>0</v>
      </c>
    </row>
    <row r="27" spans="1:8" x14ac:dyDescent="0.2">
      <c r="A27" s="72"/>
      <c r="B27" s="313" t="str">
        <f>DFIE!$B40</f>
        <v>Aargau</v>
      </c>
      <c r="C27" s="321">
        <f>SUMIF(SLA_F_1!$B$9:$B$5000,19,SLA_F_1!$E$9:$E$5000)</f>
        <v>663462</v>
      </c>
      <c r="D27" s="321">
        <f>SUMIF(SLA_F_1!$B$9:$B$5000,19,SLA_F_1!$K$9:$K$5000)</f>
        <v>333305.66922836006</v>
      </c>
      <c r="E27" s="211">
        <f t="shared" si="0"/>
        <v>0.502</v>
      </c>
      <c r="F27" s="211">
        <f t="shared" si="1"/>
        <v>0.44800000000000001</v>
      </c>
      <c r="G27" s="337">
        <f t="shared" si="2"/>
        <v>0</v>
      </c>
      <c r="H27" s="338">
        <f>G27/G$35*DOT!$J$12</f>
        <v>0</v>
      </c>
    </row>
    <row r="28" spans="1:8" x14ac:dyDescent="0.2">
      <c r="A28" s="72"/>
      <c r="B28" s="341" t="str">
        <f>DFIE!$B41</f>
        <v>Thurgau</v>
      </c>
      <c r="C28" s="342">
        <f>SUMIF(SLA_F_1!$B$9:$B$5000,20,SLA_F_1!$E$9:$E$5000)</f>
        <v>270709</v>
      </c>
      <c r="D28" s="342">
        <f>SUMIF(SLA_F_1!$B$9:$B$5000,20,SLA_F_1!$K$9:$K$5000)</f>
        <v>124090.74281766593</v>
      </c>
      <c r="E28" s="261">
        <f t="shared" si="0"/>
        <v>0.45800000000000002</v>
      </c>
      <c r="F28" s="261">
        <f t="shared" si="1"/>
        <v>0.40400000000000003</v>
      </c>
      <c r="G28" s="343">
        <f t="shared" si="2"/>
        <v>0</v>
      </c>
      <c r="H28" s="344">
        <f>G28/G$35*DOT!$J$12</f>
        <v>0</v>
      </c>
    </row>
    <row r="29" spans="1:8" x14ac:dyDescent="0.2">
      <c r="A29" s="72"/>
      <c r="B29" s="313" t="str">
        <f>DFIE!$B42</f>
        <v>Tessin</v>
      </c>
      <c r="C29" s="321">
        <f>SUMIF(SLA_F_1!$B$9:$B$5000,21,SLA_F_1!$E$9:$E$5000)</f>
        <v>354375</v>
      </c>
      <c r="D29" s="321">
        <f>SUMIF(SLA_F_1!$B$9:$B$5000,21,SLA_F_1!$K$9:$K$5000)</f>
        <v>397969.23456830491</v>
      </c>
      <c r="E29" s="211">
        <f t="shared" si="0"/>
        <v>1.123</v>
      </c>
      <c r="F29" s="211">
        <f t="shared" si="1"/>
        <v>1.069</v>
      </c>
      <c r="G29" s="337">
        <f t="shared" si="2"/>
        <v>0</v>
      </c>
      <c r="H29" s="338">
        <f>G29/G$35*DOT!$J$12</f>
        <v>0</v>
      </c>
    </row>
    <row r="30" spans="1:8" x14ac:dyDescent="0.2">
      <c r="A30" s="72"/>
      <c r="B30" s="341" t="str">
        <f>DFIE!$B43</f>
        <v>Waadt</v>
      </c>
      <c r="C30" s="342">
        <f>SUMIF(SLA_F_1!$B$9:$B$5000,22,SLA_F_1!$E$9:$E$5000)</f>
        <v>784822</v>
      </c>
      <c r="D30" s="342">
        <f>SUMIF(SLA_F_1!$B$9:$B$5000,22,SLA_F_1!$K$9:$K$5000)</f>
        <v>1692553.5683215633</v>
      </c>
      <c r="E30" s="261">
        <f t="shared" si="0"/>
        <v>2.157</v>
      </c>
      <c r="F30" s="261">
        <f t="shared" si="1"/>
        <v>2.1030000000000002</v>
      </c>
      <c r="G30" s="343">
        <f t="shared" si="2"/>
        <v>388426.51907692332</v>
      </c>
      <c r="H30" s="344">
        <f>G30/G$35*DOT!$J$12</f>
        <v>3744211.3502242831</v>
      </c>
    </row>
    <row r="31" spans="1:8" x14ac:dyDescent="0.2">
      <c r="A31" s="72"/>
      <c r="B31" s="313" t="str">
        <f>DFIE!$B44</f>
        <v>Wallis</v>
      </c>
      <c r="C31" s="321">
        <f>SUMIF(SLA_F_1!$B$9:$B$5000,23,SLA_F_1!$E$9:$E$5000)</f>
        <v>339176</v>
      </c>
      <c r="D31" s="321">
        <f>SUMIF(SLA_F_1!$B$9:$B$5000,23,SLA_F_1!$K$9:$K$5000)</f>
        <v>126190.57838572023</v>
      </c>
      <c r="E31" s="211">
        <f t="shared" si="0"/>
        <v>0.372</v>
      </c>
      <c r="F31" s="211">
        <f t="shared" si="1"/>
        <v>0.318</v>
      </c>
      <c r="G31" s="337">
        <f t="shared" si="2"/>
        <v>0</v>
      </c>
      <c r="H31" s="338">
        <f>G31/G$35*DOT!$J$12</f>
        <v>0</v>
      </c>
    </row>
    <row r="32" spans="1:8" x14ac:dyDescent="0.2">
      <c r="A32" s="72"/>
      <c r="B32" s="341" t="str">
        <f>DFIE!$B45</f>
        <v>Neuenburg</v>
      </c>
      <c r="C32" s="342">
        <f>SUMIF(SLA_F_1!$B$9:$B$5000,24,SLA_F_1!$E$9:$E$5000)</f>
        <v>178567</v>
      </c>
      <c r="D32" s="342">
        <f>SUMIF(SLA_F_1!$B$9:$B$5000,24,SLA_F_1!$K$9:$K$5000)</f>
        <v>195877.00968287935</v>
      </c>
      <c r="E32" s="261">
        <f t="shared" si="0"/>
        <v>1.097</v>
      </c>
      <c r="F32" s="261">
        <f t="shared" si="1"/>
        <v>1.0429999999999999</v>
      </c>
      <c r="G32" s="343">
        <f t="shared" si="2"/>
        <v>0</v>
      </c>
      <c r="H32" s="344">
        <f>G32/G$35*DOT!$J$12</f>
        <v>0</v>
      </c>
    </row>
    <row r="33" spans="1:8" x14ac:dyDescent="0.2">
      <c r="A33" s="72"/>
      <c r="B33" s="313" t="str">
        <f>DFIE!$B46</f>
        <v>Genf</v>
      </c>
      <c r="C33" s="321">
        <f>SUMIF(SLA_F_1!$B$9:$B$5000,25,SLA_F_1!$E$9:$E$5000)</f>
        <v>489524</v>
      </c>
      <c r="D33" s="321">
        <f>SUMIF(SLA_F_1!$B$9:$B$5000,25,SLA_F_1!$K$9:$K$5000)</f>
        <v>4183449.5233324762</v>
      </c>
      <c r="E33" s="211">
        <f t="shared" si="0"/>
        <v>8.5459999999999994</v>
      </c>
      <c r="F33" s="211">
        <f t="shared" si="1"/>
        <v>8.4919999999999991</v>
      </c>
      <c r="G33" s="337">
        <f t="shared" si="2"/>
        <v>3369845.5603076918</v>
      </c>
      <c r="H33" s="338">
        <f>G33/G$35*DOT!$J$12</f>
        <v>32483400.014477994</v>
      </c>
    </row>
    <row r="34" spans="1:8" x14ac:dyDescent="0.2">
      <c r="A34" s="72"/>
      <c r="B34" s="341" t="str">
        <f>DFIE!$B47</f>
        <v>Jura</v>
      </c>
      <c r="C34" s="342">
        <f>SUMIF(SLA_F_1!$B$9:$B$5000,26,SLA_F_1!$E$9:$E$5000)</f>
        <v>73122</v>
      </c>
      <c r="D34" s="342">
        <f>SUMIF(SLA_F_1!$B$9:$B$5000,26,SLA_F_1!$K$9:$K$5000)</f>
        <v>10369.310535326249</v>
      </c>
      <c r="E34" s="261">
        <f t="shared" si="0"/>
        <v>0.14199999999999999</v>
      </c>
      <c r="F34" s="261">
        <f t="shared" si="1"/>
        <v>8.7999999999999995E-2</v>
      </c>
      <c r="G34" s="343">
        <f t="shared" si="2"/>
        <v>0</v>
      </c>
      <c r="H34" s="344">
        <f>G34/G$35*DOT!$J$12</f>
        <v>0</v>
      </c>
    </row>
    <row r="35" spans="1:8" x14ac:dyDescent="0.2">
      <c r="A35" s="293"/>
      <c r="B35" s="348" t="str">
        <f>DFIE!$B48</f>
        <v>Schweiz</v>
      </c>
      <c r="C35" s="322">
        <f>SUM(C9:C34)</f>
        <v>8419550</v>
      </c>
      <c r="D35" s="322"/>
      <c r="E35" s="319"/>
      <c r="F35" s="319"/>
      <c r="G35" s="339">
        <f>SUM(G9:G34)</f>
        <v>12511333.715692308</v>
      </c>
      <c r="H35" s="340">
        <f>SUM(H9:H34)</f>
        <v>120602161.29440373</v>
      </c>
    </row>
    <row r="36" spans="1:8" ht="7.5" customHeight="1" x14ac:dyDescent="0.2">
      <c r="A36" s="293"/>
      <c r="B36" s="324"/>
      <c r="C36" s="347"/>
      <c r="D36" s="324"/>
      <c r="E36" s="324"/>
      <c r="F36" s="324"/>
      <c r="G36" s="347"/>
      <c r="H36" s="346"/>
    </row>
    <row r="37" spans="1:8" ht="11.25" customHeight="1" x14ac:dyDescent="0.2">
      <c r="B37" s="314" t="str">
        <f>DFIE!B176</f>
        <v>Minimum (Min)</v>
      </c>
      <c r="C37" s="315"/>
      <c r="D37" s="316"/>
      <c r="E37" s="325">
        <f>MIN(E9:E34)</f>
        <v>5.3999999999999999E-2</v>
      </c>
      <c r="F37" s="326"/>
      <c r="G37" s="97"/>
      <c r="H37" s="97"/>
    </row>
    <row r="38" spans="1:8" ht="11.25" customHeight="1" x14ac:dyDescent="0.2">
      <c r="B38" s="317" t="str">
        <f>DFIE!B177</f>
        <v>Mittelwert (MW)</v>
      </c>
      <c r="C38" s="318"/>
      <c r="D38" s="318"/>
      <c r="E38" s="327"/>
      <c r="F38" s="328">
        <f>AVERAGE(F9:F34)</f>
        <v>1.608076923076923</v>
      </c>
      <c r="G38" s="97"/>
      <c r="H38" s="97"/>
    </row>
    <row r="39" spans="1:8" x14ac:dyDescent="0.2">
      <c r="C39" s="15"/>
      <c r="D39" s="72"/>
      <c r="E39" s="72"/>
      <c r="F39" s="72"/>
      <c r="H39" s="72"/>
    </row>
  </sheetData>
  <conditionalFormatting sqref="C9:D34">
    <cfRule type="expression" dxfId="2" priority="3" stopIfTrue="1">
      <formula>ISBLANK(C9)</formula>
    </cfRule>
  </conditionalFormatting>
  <conditionalFormatting sqref="E9:F34">
    <cfRule type="expression" dxfId="1" priority="2">
      <formula>AND(ISBLANK($B10),ISNUMBER($B9))</formula>
    </cfRule>
  </conditionalFormatting>
  <conditionalFormatting sqref="E37:F38">
    <cfRule type="expression" dxfId="0" priority="1">
      <formula>AND(ISBLANK($B38),ISNUMBER($B37))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INTRO</vt:lpstr>
      <vt:lpstr>TOTAL</vt:lpstr>
      <vt:lpstr>DOT</vt:lpstr>
      <vt:lpstr>GLA_1</vt:lpstr>
      <vt:lpstr>GLA_2</vt:lpstr>
      <vt:lpstr>SLA_AC_1</vt:lpstr>
      <vt:lpstr>SLA_AC_2</vt:lpstr>
      <vt:lpstr>SLA_F_1</vt:lpstr>
      <vt:lpstr>SLA_F_2</vt:lpstr>
      <vt:lpstr>DOT!Druckbereich</vt:lpstr>
      <vt:lpstr>GLA_1!Druckbereich</vt:lpstr>
      <vt:lpstr>GLA_2!Druckbereich</vt:lpstr>
      <vt:lpstr>SLA_AC_1!Druckbereich</vt:lpstr>
      <vt:lpstr>SLA_AC_2!Druckbereich</vt:lpstr>
      <vt:lpstr>SLA_F_1!Druckbereich</vt:lpstr>
      <vt:lpstr>SLA_F_2!Druckbereich</vt:lpstr>
      <vt:lpstr>TOTAL!Druckbereich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</dc:creator>
  <cp:lastModifiedBy>Witschard Jean-Pierre EFV</cp:lastModifiedBy>
  <dcterms:created xsi:type="dcterms:W3CDTF">2014-03-07T16:08:25Z</dcterms:created>
  <dcterms:modified xsi:type="dcterms:W3CDTF">2018-05-28T12:58:11Z</dcterms:modified>
</cp:coreProperties>
</file>