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5\Zahlen\Dateien\Tabellen\"/>
    </mc:Choice>
  </mc:AlternateContent>
  <xr:revisionPtr revIDLastSave="0" documentId="14_{15AC4707-AF8A-41D9-835C-FC2B365113F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35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ALPHA" sheetId="39" r:id="rId16"/>
    <sheet name="ZETA" sheetId="38" r:id="rId17"/>
    <sheet name="DFIE" sheetId="29" state="veryHidden" r:id="rId18"/>
  </sheets>
  <definedNames>
    <definedName name="_xlnm.Print_Area" localSheetId="15">ALPHA!$B$1:$L$35</definedName>
    <definedName name="_xlnm.Print_Area" localSheetId="7">ASG!$A$1:$I$91</definedName>
    <definedName name="_xlnm.Print_Area" localSheetId="11">AUSZ!$B$1:$K$35</definedName>
    <definedName name="_xlnm.Print_Area" localSheetId="8">BEV!$B$1:$F$35</definedName>
    <definedName name="_xlnm.Print_Area" localSheetId="12">DOT!$B$1:$F$12</definedName>
    <definedName name="_xlnm.Print_Area" localSheetId="13">EINZ!$B$1:$G$35</definedName>
    <definedName name="_xlnm.Print_Area" localSheetId="2">NP!$A$1:$I$91</definedName>
    <definedName name="_xlnm.Print_Area" localSheetId="3">QS!$A$1:$Y$91</definedName>
    <definedName name="_xlnm.Print_Area" localSheetId="6">REP!$A$1:$O$91</definedName>
    <definedName name="_xlnm.Print_Area" localSheetId="9">RP!$B$1:$I$38</definedName>
    <definedName name="_xlnm.Print_Area" localSheetId="14">SSE!$B$1:$I$37</definedName>
    <definedName name="_xlnm.Print_Area" localSheetId="10">SST!$B$1:$I$19</definedName>
    <definedName name="_xlnm.Print_Area" localSheetId="1">TOTAL!$B$1:$F$36</definedName>
    <definedName name="_xlnm.Print_Area" localSheetId="4">VERM!$B$1:$J$36</definedName>
    <definedName name="_xlnm.Print_Area" localSheetId="16">ZETA!$B$1:$X$48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Print_Area" localSheetId="16">ZETA!$A$2:$AK$39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15" l="1"/>
  <c r="G63" i="15"/>
  <c r="G91" i="15"/>
  <c r="E262" i="29" l="1"/>
  <c r="D262" i="29"/>
  <c r="D243" i="29"/>
  <c r="E226" i="29"/>
  <c r="D226" i="29"/>
  <c r="D223" i="29"/>
  <c r="D219" i="29"/>
  <c r="D207" i="29"/>
  <c r="G188" i="29"/>
  <c r="F188" i="29"/>
  <c r="D187" i="29"/>
  <c r="F185" i="29"/>
  <c r="E185" i="29"/>
  <c r="E182" i="29"/>
  <c r="D182" i="29"/>
  <c r="G175" i="29"/>
  <c r="D139" i="29"/>
  <c r="E134" i="29"/>
  <c r="D134" i="29"/>
  <c r="F121" i="29"/>
  <c r="E121" i="29"/>
  <c r="G119" i="29"/>
  <c r="E118" i="29"/>
  <c r="D118" i="29"/>
  <c r="G116" i="29"/>
  <c r="F116" i="29"/>
  <c r="F113" i="29"/>
  <c r="E113" i="29"/>
  <c r="F109" i="29"/>
  <c r="E109" i="29"/>
  <c r="G107" i="29"/>
  <c r="E106" i="29"/>
  <c r="D106" i="29"/>
  <c r="G104" i="29"/>
  <c r="F104" i="29"/>
  <c r="D103" i="29"/>
  <c r="F101" i="29"/>
  <c r="E101" i="29"/>
  <c r="D91" i="29"/>
  <c r="G84" i="29"/>
  <c r="F84" i="29"/>
  <c r="G75" i="29"/>
  <c r="E74" i="29"/>
  <c r="D74" i="29"/>
  <c r="G3" i="29"/>
  <c r="E188" i="29" s="1"/>
  <c r="T42" i="38"/>
  <c r="T41" i="38"/>
  <c r="S41" i="38"/>
  <c r="R41" i="38"/>
  <c r="U36" i="38"/>
  <c r="T36" i="38"/>
  <c r="H36" i="38"/>
  <c r="G36" i="38"/>
  <c r="F36" i="38"/>
  <c r="E36" i="38"/>
  <c r="D36" i="38"/>
  <c r="C36" i="38"/>
  <c r="X35" i="38"/>
  <c r="I35" i="38"/>
  <c r="K35" i="38" s="1"/>
  <c r="X34" i="38"/>
  <c r="K34" i="38"/>
  <c r="I34" i="38"/>
  <c r="W33" i="38"/>
  <c r="W36" i="38" s="1"/>
  <c r="V33" i="38"/>
  <c r="V36" i="38" s="1"/>
  <c r="U33" i="38"/>
  <c r="T33" i="38"/>
  <c r="S33" i="38"/>
  <c r="S36" i="38" s="1"/>
  <c r="S42" i="38" s="1"/>
  <c r="R33" i="38"/>
  <c r="I33" i="38"/>
  <c r="K33" i="38" s="1"/>
  <c r="X32" i="38"/>
  <c r="I32" i="38"/>
  <c r="K32" i="38" s="1"/>
  <c r="X31" i="38"/>
  <c r="I31" i="38"/>
  <c r="K31" i="38" s="1"/>
  <c r="I30" i="38"/>
  <c r="K30" i="38" s="1"/>
  <c r="I29" i="38"/>
  <c r="K29" i="38" s="1"/>
  <c r="K28" i="38"/>
  <c r="I28" i="38"/>
  <c r="X27" i="38"/>
  <c r="I27" i="38"/>
  <c r="K27" i="38" s="1"/>
  <c r="K26" i="38"/>
  <c r="I26" i="38"/>
  <c r="I25" i="38"/>
  <c r="K25" i="38" s="1"/>
  <c r="W24" i="38"/>
  <c r="V24" i="38"/>
  <c r="U24" i="38"/>
  <c r="T24" i="38"/>
  <c r="S24" i="38"/>
  <c r="R24" i="38"/>
  <c r="I24" i="38"/>
  <c r="K24" i="38" s="1"/>
  <c r="I23" i="38"/>
  <c r="K23" i="38" s="1"/>
  <c r="K22" i="38"/>
  <c r="I22" i="38"/>
  <c r="I21" i="38"/>
  <c r="K21" i="38" s="1"/>
  <c r="K20" i="38"/>
  <c r="I20" i="38"/>
  <c r="K19" i="38"/>
  <c r="I19" i="38"/>
  <c r="K18" i="38"/>
  <c r="I18" i="38"/>
  <c r="K17" i="38"/>
  <c r="I17" i="38"/>
  <c r="I16" i="38"/>
  <c r="K16" i="38" s="1"/>
  <c r="I15" i="38"/>
  <c r="K15" i="38" s="1"/>
  <c r="I14" i="38"/>
  <c r="K14" i="38" s="1"/>
  <c r="I13" i="38"/>
  <c r="K13" i="38" s="1"/>
  <c r="W12" i="38"/>
  <c r="I12" i="38"/>
  <c r="K12" i="38" s="1"/>
  <c r="W11" i="38"/>
  <c r="V11" i="38"/>
  <c r="V12" i="38" s="1"/>
  <c r="U11" i="38"/>
  <c r="U12" i="38" s="1"/>
  <c r="T11" i="38"/>
  <c r="T12" i="38" s="1"/>
  <c r="T29" i="38" s="1"/>
  <c r="S11" i="38"/>
  <c r="S12" i="38" s="1"/>
  <c r="S29" i="38" s="1"/>
  <c r="R11" i="38"/>
  <c r="X11" i="38" s="1"/>
  <c r="X10" i="38" s="1"/>
  <c r="I11" i="38"/>
  <c r="K11" i="38" s="1"/>
  <c r="I10" i="38"/>
  <c r="K10" i="38" s="1"/>
  <c r="X9" i="38"/>
  <c r="X8" i="38"/>
  <c r="J8" i="38"/>
  <c r="H8" i="38"/>
  <c r="G8" i="38"/>
  <c r="F8" i="38"/>
  <c r="E8" i="38"/>
  <c r="D8" i="38"/>
  <c r="C8" i="38"/>
  <c r="W7" i="38"/>
  <c r="V7" i="38"/>
  <c r="U7" i="38"/>
  <c r="U28" i="38" s="1"/>
  <c r="T7" i="38"/>
  <c r="S7" i="38"/>
  <c r="R7" i="38"/>
  <c r="X6" i="38"/>
  <c r="W3" i="38"/>
  <c r="V3" i="38"/>
  <c r="U3" i="38"/>
  <c r="T3" i="38"/>
  <c r="S3" i="38"/>
  <c r="R3" i="38"/>
  <c r="H20" i="39"/>
  <c r="G20" i="39"/>
  <c r="F20" i="39"/>
  <c r="L15" i="39"/>
  <c r="H14" i="39"/>
  <c r="K13" i="39"/>
  <c r="K14" i="39" s="1"/>
  <c r="J13" i="39"/>
  <c r="J14" i="39" s="1"/>
  <c r="I13" i="39"/>
  <c r="I14" i="39" s="1"/>
  <c r="H13" i="39"/>
  <c r="G13" i="39"/>
  <c r="G14" i="39" s="1"/>
  <c r="F13" i="39"/>
  <c r="F14" i="39" s="1"/>
  <c r="K6" i="39"/>
  <c r="J6" i="39"/>
  <c r="I6" i="39"/>
  <c r="H6" i="39"/>
  <c r="G6" i="39"/>
  <c r="F6" i="39"/>
  <c r="C35" i="24"/>
  <c r="E21" i="24"/>
  <c r="E10" i="21"/>
  <c r="D10" i="21"/>
  <c r="C35" i="6"/>
  <c r="K15" i="6"/>
  <c r="K16" i="6" s="1"/>
  <c r="H13" i="28"/>
  <c r="H14" i="28" s="1"/>
  <c r="G13" i="28"/>
  <c r="G14" i="28" s="1"/>
  <c r="F13" i="28"/>
  <c r="F14" i="28" s="1"/>
  <c r="H8" i="28"/>
  <c r="G8" i="28"/>
  <c r="F8" i="28"/>
  <c r="I8" i="28" s="1"/>
  <c r="G34" i="19"/>
  <c r="G32" i="19"/>
  <c r="G30" i="19"/>
  <c r="G28" i="19"/>
  <c r="G26" i="19"/>
  <c r="E26" i="24" s="1"/>
  <c r="G24" i="19"/>
  <c r="G22" i="19"/>
  <c r="G18" i="19"/>
  <c r="G14" i="19"/>
  <c r="G12" i="19"/>
  <c r="G10" i="19"/>
  <c r="E10" i="24" s="1"/>
  <c r="E35" i="18"/>
  <c r="D35" i="18"/>
  <c r="C35" i="18"/>
  <c r="F34" i="18"/>
  <c r="F33" i="18"/>
  <c r="G33" i="19" s="1"/>
  <c r="F32" i="18"/>
  <c r="F31" i="18"/>
  <c r="G31" i="19" s="1"/>
  <c r="F30" i="18"/>
  <c r="F29" i="18"/>
  <c r="G29" i="19" s="1"/>
  <c r="F28" i="18"/>
  <c r="F27" i="18"/>
  <c r="G27" i="19" s="1"/>
  <c r="F26" i="18"/>
  <c r="F25" i="18"/>
  <c r="G25" i="19" s="1"/>
  <c r="F24" i="18"/>
  <c r="F23" i="18"/>
  <c r="G23" i="19" s="1"/>
  <c r="F22" i="18"/>
  <c r="F21" i="18"/>
  <c r="G21" i="19" s="1"/>
  <c r="D21" i="22" s="1"/>
  <c r="F20" i="18"/>
  <c r="G20" i="19" s="1"/>
  <c r="F19" i="18"/>
  <c r="G19" i="19" s="1"/>
  <c r="F18" i="18"/>
  <c r="F17" i="18"/>
  <c r="G17" i="19" s="1"/>
  <c r="F16" i="18"/>
  <c r="G16" i="19" s="1"/>
  <c r="F15" i="18"/>
  <c r="G15" i="19" s="1"/>
  <c r="F14" i="18"/>
  <c r="F13" i="18"/>
  <c r="G13" i="19" s="1"/>
  <c r="F12" i="18"/>
  <c r="F11" i="18"/>
  <c r="G11" i="19" s="1"/>
  <c r="F10" i="18"/>
  <c r="F9" i="18"/>
  <c r="F7" i="18"/>
  <c r="E7" i="18"/>
  <c r="D7" i="18"/>
  <c r="C7" i="18"/>
  <c r="G62" i="15"/>
  <c r="G61" i="15"/>
  <c r="G60" i="15"/>
  <c r="G59" i="15"/>
  <c r="G58" i="15"/>
  <c r="G57" i="15"/>
  <c r="G56" i="15"/>
  <c r="G55" i="15"/>
  <c r="G54" i="15"/>
  <c r="G53" i="15"/>
  <c r="G52" i="15"/>
  <c r="G51" i="15"/>
  <c r="G50" i="15"/>
  <c r="G49" i="15"/>
  <c r="G48" i="15"/>
  <c r="G47" i="15"/>
  <c r="G46" i="15"/>
  <c r="G45" i="15"/>
  <c r="G44" i="15"/>
  <c r="G43" i="15"/>
  <c r="G42" i="15"/>
  <c r="G41" i="15"/>
  <c r="G40" i="15"/>
  <c r="G39" i="15"/>
  <c r="G38" i="15"/>
  <c r="G37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91" i="13"/>
  <c r="F91" i="13"/>
  <c r="D91" i="13"/>
  <c r="C91" i="13"/>
  <c r="I63" i="13"/>
  <c r="G63" i="13"/>
  <c r="F63" i="13"/>
  <c r="D63" i="13"/>
  <c r="C63" i="13"/>
  <c r="H62" i="13"/>
  <c r="E62" i="13"/>
  <c r="H61" i="13"/>
  <c r="E61" i="13"/>
  <c r="H60" i="13"/>
  <c r="E60" i="13"/>
  <c r="H59" i="13"/>
  <c r="E59" i="13"/>
  <c r="H58" i="13"/>
  <c r="E58" i="13"/>
  <c r="H57" i="13"/>
  <c r="E57" i="13"/>
  <c r="H56" i="13"/>
  <c r="E56" i="13"/>
  <c r="H55" i="13"/>
  <c r="E55" i="13"/>
  <c r="H54" i="13"/>
  <c r="E54" i="13"/>
  <c r="H53" i="13"/>
  <c r="E53" i="13"/>
  <c r="H52" i="13"/>
  <c r="E52" i="13"/>
  <c r="H51" i="13"/>
  <c r="E51" i="13"/>
  <c r="H50" i="13"/>
  <c r="E50" i="13"/>
  <c r="H49" i="13"/>
  <c r="E49" i="13"/>
  <c r="H48" i="13"/>
  <c r="E48" i="13"/>
  <c r="H47" i="13"/>
  <c r="E47" i="13"/>
  <c r="H46" i="13"/>
  <c r="E46" i="13"/>
  <c r="H45" i="13"/>
  <c r="E45" i="13"/>
  <c r="H44" i="13"/>
  <c r="E44" i="13"/>
  <c r="H43" i="13"/>
  <c r="H63" i="13" s="1"/>
  <c r="E43" i="13"/>
  <c r="H42" i="13"/>
  <c r="E42" i="13"/>
  <c r="H41" i="13"/>
  <c r="E41" i="13"/>
  <c r="H40" i="13"/>
  <c r="E40" i="13"/>
  <c r="H39" i="13"/>
  <c r="E39" i="13"/>
  <c r="H38" i="13"/>
  <c r="E38" i="13"/>
  <c r="H37" i="13"/>
  <c r="E37" i="13"/>
  <c r="I35" i="13"/>
  <c r="G35" i="13"/>
  <c r="F35" i="13"/>
  <c r="D35" i="13"/>
  <c r="C35" i="13"/>
  <c r="H34" i="13"/>
  <c r="E34" i="13"/>
  <c r="H33" i="13"/>
  <c r="E33" i="13"/>
  <c r="H32" i="13"/>
  <c r="E32" i="13"/>
  <c r="H31" i="13"/>
  <c r="E31" i="13"/>
  <c r="H30" i="13"/>
  <c r="E30" i="13"/>
  <c r="H29" i="13"/>
  <c r="E29" i="13"/>
  <c r="H28" i="13"/>
  <c r="E28" i="13"/>
  <c r="H27" i="13"/>
  <c r="E27" i="13"/>
  <c r="H26" i="13"/>
  <c r="E26" i="13"/>
  <c r="H25" i="13"/>
  <c r="E25" i="13"/>
  <c r="H24" i="13"/>
  <c r="E24" i="13"/>
  <c r="H23" i="13"/>
  <c r="E23" i="13"/>
  <c r="H22" i="13"/>
  <c r="E22" i="13"/>
  <c r="H21" i="13"/>
  <c r="E21" i="13"/>
  <c r="H20" i="13"/>
  <c r="E20" i="13"/>
  <c r="H19" i="13"/>
  <c r="E19" i="13"/>
  <c r="H18" i="13"/>
  <c r="E18" i="13"/>
  <c r="H17" i="13"/>
  <c r="E17" i="13"/>
  <c r="H16" i="13"/>
  <c r="E16" i="13"/>
  <c r="H15" i="13"/>
  <c r="E15" i="13"/>
  <c r="H14" i="13"/>
  <c r="E14" i="13"/>
  <c r="H13" i="13"/>
  <c r="E13" i="13"/>
  <c r="H12" i="13"/>
  <c r="E12" i="13"/>
  <c r="H11" i="13"/>
  <c r="E11" i="13"/>
  <c r="H10" i="13"/>
  <c r="E10" i="13"/>
  <c r="H9" i="13"/>
  <c r="E9" i="13"/>
  <c r="G91" i="35"/>
  <c r="E91" i="35"/>
  <c r="C91" i="35"/>
  <c r="F90" i="35"/>
  <c r="F89" i="35"/>
  <c r="D89" i="35"/>
  <c r="H89" i="35" s="1"/>
  <c r="F89" i="15" s="1"/>
  <c r="F88" i="35"/>
  <c r="F87" i="35"/>
  <c r="D87" i="35"/>
  <c r="H87" i="35" s="1"/>
  <c r="F87" i="15" s="1"/>
  <c r="F86" i="35"/>
  <c r="F85" i="35"/>
  <c r="D85" i="35"/>
  <c r="H85" i="35" s="1"/>
  <c r="F85" i="15" s="1"/>
  <c r="F84" i="35"/>
  <c r="F83" i="35"/>
  <c r="D83" i="35"/>
  <c r="H83" i="35" s="1"/>
  <c r="F83" i="15" s="1"/>
  <c r="F82" i="35"/>
  <c r="F81" i="35"/>
  <c r="D81" i="35"/>
  <c r="H81" i="35" s="1"/>
  <c r="F81" i="15" s="1"/>
  <c r="F80" i="35"/>
  <c r="F79" i="35"/>
  <c r="D79" i="35"/>
  <c r="H79" i="35" s="1"/>
  <c r="F79" i="15" s="1"/>
  <c r="L78" i="35"/>
  <c r="D77" i="35" s="1"/>
  <c r="F78" i="35"/>
  <c r="H77" i="35"/>
  <c r="F77" i="15" s="1"/>
  <c r="F77" i="35"/>
  <c r="F76" i="35"/>
  <c r="D76" i="35"/>
  <c r="H76" i="35" s="1"/>
  <c r="F76" i="15" s="1"/>
  <c r="F75" i="35"/>
  <c r="F74" i="35"/>
  <c r="D74" i="35"/>
  <c r="H74" i="35" s="1"/>
  <c r="F74" i="15" s="1"/>
  <c r="F73" i="35"/>
  <c r="D73" i="35"/>
  <c r="H73" i="35" s="1"/>
  <c r="F73" i="15" s="1"/>
  <c r="F72" i="35"/>
  <c r="F71" i="35"/>
  <c r="H71" i="35" s="1"/>
  <c r="F71" i="15" s="1"/>
  <c r="D71" i="35"/>
  <c r="F70" i="35"/>
  <c r="D70" i="35"/>
  <c r="H70" i="35" s="1"/>
  <c r="F70" i="15" s="1"/>
  <c r="H69" i="35"/>
  <c r="F69" i="15" s="1"/>
  <c r="F69" i="35"/>
  <c r="D69" i="35"/>
  <c r="F68" i="35"/>
  <c r="D68" i="35"/>
  <c r="H68" i="35" s="1"/>
  <c r="F68" i="15" s="1"/>
  <c r="H67" i="35"/>
  <c r="F67" i="15" s="1"/>
  <c r="F67" i="35"/>
  <c r="D67" i="35"/>
  <c r="H66" i="35"/>
  <c r="F66" i="15" s="1"/>
  <c r="F66" i="35"/>
  <c r="D66" i="35"/>
  <c r="F65" i="35"/>
  <c r="F91" i="35" s="1"/>
  <c r="D65" i="35"/>
  <c r="H65" i="35" s="1"/>
  <c r="G63" i="35"/>
  <c r="E63" i="35"/>
  <c r="C63" i="35"/>
  <c r="F62" i="35"/>
  <c r="F61" i="35"/>
  <c r="F60" i="35"/>
  <c r="F59" i="35"/>
  <c r="F58" i="35"/>
  <c r="F57" i="35"/>
  <c r="F56" i="35"/>
  <c r="F55" i="35"/>
  <c r="F54" i="35"/>
  <c r="F53" i="35"/>
  <c r="F52" i="35"/>
  <c r="F51" i="35"/>
  <c r="L50" i="35"/>
  <c r="F50" i="35"/>
  <c r="F49" i="35"/>
  <c r="F48" i="35"/>
  <c r="F47" i="35"/>
  <c r="F46" i="35"/>
  <c r="F45" i="35"/>
  <c r="F44" i="35"/>
  <c r="F43" i="35"/>
  <c r="F42" i="35"/>
  <c r="F41" i="35"/>
  <c r="F40" i="35"/>
  <c r="F39" i="35"/>
  <c r="F38" i="35"/>
  <c r="F37" i="35"/>
  <c r="G35" i="35"/>
  <c r="E35" i="35"/>
  <c r="C35" i="35"/>
  <c r="F34" i="35"/>
  <c r="H33" i="35"/>
  <c r="F33" i="15" s="1"/>
  <c r="F33" i="35"/>
  <c r="F32" i="35"/>
  <c r="F31" i="35"/>
  <c r="F30" i="35"/>
  <c r="F29" i="35"/>
  <c r="F28" i="35"/>
  <c r="F27" i="35"/>
  <c r="F26" i="35"/>
  <c r="F25" i="35"/>
  <c r="F24" i="35"/>
  <c r="F23" i="35"/>
  <c r="L22" i="35"/>
  <c r="D33" i="35" s="1"/>
  <c r="F22" i="35"/>
  <c r="D22" i="35"/>
  <c r="H22" i="35" s="1"/>
  <c r="F22" i="15" s="1"/>
  <c r="F21" i="35"/>
  <c r="F20" i="35"/>
  <c r="H20" i="35" s="1"/>
  <c r="F20" i="15" s="1"/>
  <c r="D20" i="35"/>
  <c r="F19" i="35"/>
  <c r="D19" i="35"/>
  <c r="H19" i="35" s="1"/>
  <c r="F19" i="15" s="1"/>
  <c r="H18" i="35"/>
  <c r="F18" i="15" s="1"/>
  <c r="F18" i="35"/>
  <c r="D18" i="35"/>
  <c r="F17" i="35"/>
  <c r="D17" i="35"/>
  <c r="H17" i="35" s="1"/>
  <c r="F17" i="15" s="1"/>
  <c r="F16" i="35"/>
  <c r="H15" i="35"/>
  <c r="F15" i="15" s="1"/>
  <c r="F15" i="35"/>
  <c r="D15" i="35"/>
  <c r="F14" i="35"/>
  <c r="H13" i="35"/>
  <c r="F13" i="15" s="1"/>
  <c r="F13" i="35"/>
  <c r="D13" i="35"/>
  <c r="F12" i="35"/>
  <c r="D12" i="35"/>
  <c r="H12" i="35" s="1"/>
  <c r="F12" i="15" s="1"/>
  <c r="F11" i="35"/>
  <c r="H11" i="35" s="1"/>
  <c r="F11" i="15" s="1"/>
  <c r="D11" i="35"/>
  <c r="H10" i="35"/>
  <c r="F10" i="15" s="1"/>
  <c r="F10" i="35"/>
  <c r="D10" i="35"/>
  <c r="H9" i="35"/>
  <c r="F9" i="15" s="1"/>
  <c r="F9" i="35"/>
  <c r="D9" i="35"/>
  <c r="I35" i="12"/>
  <c r="K21" i="39" s="1"/>
  <c r="F35" i="12"/>
  <c r="J21" i="39" s="1"/>
  <c r="C35" i="12"/>
  <c r="I21" i="39" s="1"/>
  <c r="L21" i="39" s="1"/>
  <c r="L24" i="39" s="1"/>
  <c r="G34" i="12"/>
  <c r="E62" i="15" s="1"/>
  <c r="D34" i="12"/>
  <c r="E34" i="15" s="1"/>
  <c r="G33" i="12"/>
  <c r="E61" i="15" s="1"/>
  <c r="D33" i="12"/>
  <c r="E33" i="15" s="1"/>
  <c r="G32" i="12"/>
  <c r="E60" i="15" s="1"/>
  <c r="D32" i="12"/>
  <c r="E32" i="15" s="1"/>
  <c r="G31" i="12"/>
  <c r="E59" i="15" s="1"/>
  <c r="D31" i="12"/>
  <c r="E31" i="15" s="1"/>
  <c r="G30" i="12"/>
  <c r="E58" i="15" s="1"/>
  <c r="D30" i="12"/>
  <c r="E30" i="15" s="1"/>
  <c r="G29" i="12"/>
  <c r="E57" i="15" s="1"/>
  <c r="D29" i="12"/>
  <c r="E29" i="15" s="1"/>
  <c r="G28" i="12"/>
  <c r="E56" i="15" s="1"/>
  <c r="D28" i="12"/>
  <c r="E28" i="15" s="1"/>
  <c r="G27" i="12"/>
  <c r="E55" i="15" s="1"/>
  <c r="D27" i="12"/>
  <c r="E27" i="15" s="1"/>
  <c r="G26" i="12"/>
  <c r="E54" i="15" s="1"/>
  <c r="D26" i="12"/>
  <c r="E26" i="15" s="1"/>
  <c r="G25" i="12"/>
  <c r="E53" i="15" s="1"/>
  <c r="D25" i="12"/>
  <c r="E25" i="15" s="1"/>
  <c r="G24" i="12"/>
  <c r="E52" i="15" s="1"/>
  <c r="D24" i="12"/>
  <c r="E24" i="15" s="1"/>
  <c r="G23" i="12"/>
  <c r="E51" i="15" s="1"/>
  <c r="D23" i="12"/>
  <c r="E23" i="15" s="1"/>
  <c r="G22" i="12"/>
  <c r="E50" i="15" s="1"/>
  <c r="D22" i="12"/>
  <c r="E22" i="15" s="1"/>
  <c r="G21" i="12"/>
  <c r="E49" i="15" s="1"/>
  <c r="D21" i="12"/>
  <c r="E21" i="15" s="1"/>
  <c r="G20" i="12"/>
  <c r="E48" i="15" s="1"/>
  <c r="D20" i="12"/>
  <c r="E20" i="15" s="1"/>
  <c r="G19" i="12"/>
  <c r="E47" i="15" s="1"/>
  <c r="D19" i="12"/>
  <c r="E19" i="15" s="1"/>
  <c r="G18" i="12"/>
  <c r="E46" i="15" s="1"/>
  <c r="D18" i="12"/>
  <c r="E18" i="15" s="1"/>
  <c r="G17" i="12"/>
  <c r="E45" i="15" s="1"/>
  <c r="D17" i="12"/>
  <c r="E17" i="15" s="1"/>
  <c r="G16" i="12"/>
  <c r="E44" i="15" s="1"/>
  <c r="D16" i="12"/>
  <c r="E16" i="15" s="1"/>
  <c r="G15" i="12"/>
  <c r="E43" i="15" s="1"/>
  <c r="D15" i="12"/>
  <c r="E15" i="15" s="1"/>
  <c r="G14" i="12"/>
  <c r="E42" i="15" s="1"/>
  <c r="D14" i="12"/>
  <c r="E14" i="15" s="1"/>
  <c r="G13" i="12"/>
  <c r="E41" i="15" s="1"/>
  <c r="D13" i="12"/>
  <c r="E13" i="15" s="1"/>
  <c r="G12" i="12"/>
  <c r="E40" i="15" s="1"/>
  <c r="D12" i="12"/>
  <c r="E12" i="15" s="1"/>
  <c r="G11" i="12"/>
  <c r="E39" i="15" s="1"/>
  <c r="D11" i="12"/>
  <c r="E11" i="15" s="1"/>
  <c r="G10" i="12"/>
  <c r="E38" i="15" s="1"/>
  <c r="D10" i="12"/>
  <c r="E10" i="15" s="1"/>
  <c r="G9" i="12"/>
  <c r="D9" i="12"/>
  <c r="E9" i="15" s="1"/>
  <c r="I91" i="16"/>
  <c r="H91" i="16"/>
  <c r="G91" i="16"/>
  <c r="F91" i="16"/>
  <c r="E91" i="16"/>
  <c r="D91" i="16"/>
  <c r="C91" i="16"/>
  <c r="V90" i="16"/>
  <c r="J90" i="16"/>
  <c r="T89" i="16"/>
  <c r="J89" i="16"/>
  <c r="T88" i="16"/>
  <c r="J88" i="16"/>
  <c r="T87" i="16"/>
  <c r="J87" i="16"/>
  <c r="T86" i="16"/>
  <c r="J86" i="16"/>
  <c r="V85" i="16"/>
  <c r="T85" i="16"/>
  <c r="J85" i="16"/>
  <c r="T84" i="16"/>
  <c r="J84" i="16"/>
  <c r="T83" i="16"/>
  <c r="J83" i="16"/>
  <c r="T82" i="16"/>
  <c r="N82" i="16"/>
  <c r="V77" i="16" s="1"/>
  <c r="J82" i="16"/>
  <c r="T81" i="16"/>
  <c r="J81" i="16"/>
  <c r="T80" i="16"/>
  <c r="N80" i="16"/>
  <c r="T90" i="16" s="1"/>
  <c r="J80" i="16"/>
  <c r="V79" i="16"/>
  <c r="T79" i="16"/>
  <c r="J79" i="16"/>
  <c r="V78" i="16"/>
  <c r="T78" i="16"/>
  <c r="J78" i="16"/>
  <c r="T77" i="16"/>
  <c r="J77" i="16"/>
  <c r="V76" i="16"/>
  <c r="T76" i="16"/>
  <c r="J76" i="16"/>
  <c r="T75" i="16"/>
  <c r="J75" i="16"/>
  <c r="T74" i="16"/>
  <c r="J74" i="16"/>
  <c r="T73" i="16"/>
  <c r="J73" i="16"/>
  <c r="T72" i="16"/>
  <c r="J72" i="16"/>
  <c r="T71" i="16"/>
  <c r="J71" i="16"/>
  <c r="T70" i="16"/>
  <c r="J70" i="16"/>
  <c r="T69" i="16"/>
  <c r="J69" i="16"/>
  <c r="T68" i="16"/>
  <c r="J68" i="16"/>
  <c r="T67" i="16"/>
  <c r="J67" i="16"/>
  <c r="T66" i="16"/>
  <c r="J66" i="16"/>
  <c r="T65" i="16"/>
  <c r="J65" i="16"/>
  <c r="I63" i="16"/>
  <c r="H63" i="16"/>
  <c r="G63" i="16"/>
  <c r="F63" i="16"/>
  <c r="E63" i="16"/>
  <c r="D63" i="16"/>
  <c r="C63" i="16"/>
  <c r="W62" i="16"/>
  <c r="V62" i="16"/>
  <c r="R62" i="16"/>
  <c r="J62" i="16"/>
  <c r="U61" i="16"/>
  <c r="R61" i="16"/>
  <c r="J61" i="16"/>
  <c r="U60" i="16"/>
  <c r="T60" i="16"/>
  <c r="J60" i="16"/>
  <c r="W59" i="16"/>
  <c r="R59" i="16"/>
  <c r="J59" i="16"/>
  <c r="V58" i="16"/>
  <c r="T58" i="16"/>
  <c r="R58" i="16"/>
  <c r="J58" i="16"/>
  <c r="V57" i="16"/>
  <c r="R57" i="16"/>
  <c r="Q57" i="16"/>
  <c r="J57" i="16"/>
  <c r="T56" i="16"/>
  <c r="R56" i="16"/>
  <c r="J56" i="16"/>
  <c r="W55" i="16"/>
  <c r="T55" i="16"/>
  <c r="J55" i="16"/>
  <c r="W54" i="16"/>
  <c r="R54" i="16"/>
  <c r="J54" i="16"/>
  <c r="T53" i="16"/>
  <c r="R53" i="16"/>
  <c r="J53" i="16"/>
  <c r="T52" i="16"/>
  <c r="J52" i="16"/>
  <c r="W51" i="16"/>
  <c r="T51" i="16"/>
  <c r="R51" i="16"/>
  <c r="J51" i="16"/>
  <c r="V50" i="16"/>
  <c r="T50" i="16"/>
  <c r="R50" i="16"/>
  <c r="N50" i="16"/>
  <c r="W56" i="16" s="1"/>
  <c r="J50" i="16"/>
  <c r="W49" i="16"/>
  <c r="V49" i="16"/>
  <c r="R49" i="16"/>
  <c r="N49" i="16"/>
  <c r="V54" i="16" s="1"/>
  <c r="J49" i="16"/>
  <c r="W48" i="16"/>
  <c r="T48" i="16"/>
  <c r="S48" i="16"/>
  <c r="R48" i="16"/>
  <c r="N48" i="16"/>
  <c r="U57" i="16" s="1"/>
  <c r="J48" i="16"/>
  <c r="T47" i="16"/>
  <c r="R47" i="16"/>
  <c r="Q47" i="16"/>
  <c r="N47" i="16"/>
  <c r="T57" i="16" s="1"/>
  <c r="J47" i="16"/>
  <c r="W46" i="16"/>
  <c r="U46" i="16"/>
  <c r="T46" i="16"/>
  <c r="R46" i="16"/>
  <c r="N46" i="16"/>
  <c r="S53" i="16" s="1"/>
  <c r="J46" i="16"/>
  <c r="V45" i="16"/>
  <c r="U45" i="16"/>
  <c r="T45" i="16"/>
  <c r="R45" i="16"/>
  <c r="N45" i="16"/>
  <c r="R55" i="16" s="1"/>
  <c r="J45" i="16"/>
  <c r="W44" i="16"/>
  <c r="V44" i="16"/>
  <c r="U44" i="16"/>
  <c r="T44" i="16"/>
  <c r="R44" i="16"/>
  <c r="Q44" i="16"/>
  <c r="N44" i="16"/>
  <c r="J44" i="16"/>
  <c r="V43" i="16"/>
  <c r="U43" i="16"/>
  <c r="T43" i="16"/>
  <c r="S43" i="16"/>
  <c r="R43" i="16"/>
  <c r="Q43" i="16"/>
  <c r="J43" i="16"/>
  <c r="W42" i="16"/>
  <c r="T42" i="16"/>
  <c r="S42" i="16"/>
  <c r="R42" i="16"/>
  <c r="J42" i="16"/>
  <c r="W41" i="16"/>
  <c r="V41" i="16"/>
  <c r="U41" i="16"/>
  <c r="T41" i="16"/>
  <c r="S41" i="16"/>
  <c r="R41" i="16"/>
  <c r="J41" i="16"/>
  <c r="W40" i="16"/>
  <c r="V40" i="16"/>
  <c r="S40" i="16"/>
  <c r="R40" i="16"/>
  <c r="J40" i="16"/>
  <c r="V39" i="16"/>
  <c r="U39" i="16"/>
  <c r="T39" i="16"/>
  <c r="R39" i="16"/>
  <c r="J39" i="16"/>
  <c r="W38" i="16"/>
  <c r="V38" i="16"/>
  <c r="U38" i="16"/>
  <c r="T38" i="16"/>
  <c r="R38" i="16"/>
  <c r="J38" i="16"/>
  <c r="W37" i="16"/>
  <c r="V37" i="16"/>
  <c r="U37" i="16"/>
  <c r="T37" i="16"/>
  <c r="S37" i="16"/>
  <c r="R37" i="16"/>
  <c r="J37" i="16"/>
  <c r="I35" i="16"/>
  <c r="H35" i="16"/>
  <c r="G35" i="16"/>
  <c r="F35" i="16"/>
  <c r="E35" i="16"/>
  <c r="D35" i="16"/>
  <c r="C35" i="16"/>
  <c r="J35" i="16" s="1"/>
  <c r="W34" i="16"/>
  <c r="T34" i="16"/>
  <c r="Q34" i="16"/>
  <c r="J34" i="16"/>
  <c r="W33" i="16"/>
  <c r="V33" i="16"/>
  <c r="T33" i="16"/>
  <c r="S33" i="16"/>
  <c r="J33" i="16"/>
  <c r="V32" i="16"/>
  <c r="U32" i="16"/>
  <c r="Q32" i="16"/>
  <c r="J32" i="16"/>
  <c r="V31" i="16"/>
  <c r="S31" i="16"/>
  <c r="Q31" i="16"/>
  <c r="J31" i="16"/>
  <c r="V30" i="16"/>
  <c r="T30" i="16"/>
  <c r="Q30" i="16"/>
  <c r="J30" i="16"/>
  <c r="W29" i="16"/>
  <c r="V29" i="16"/>
  <c r="S29" i="16"/>
  <c r="J29" i="16"/>
  <c r="W28" i="16"/>
  <c r="T28" i="16"/>
  <c r="Q28" i="16"/>
  <c r="J28" i="16"/>
  <c r="W27" i="16"/>
  <c r="V27" i="16"/>
  <c r="S27" i="16"/>
  <c r="Q27" i="16"/>
  <c r="J27" i="16"/>
  <c r="V26" i="16"/>
  <c r="T26" i="16"/>
  <c r="Q26" i="16"/>
  <c r="J26" i="16"/>
  <c r="W25" i="16"/>
  <c r="T25" i="16"/>
  <c r="Q25" i="16"/>
  <c r="J25" i="16"/>
  <c r="W24" i="16"/>
  <c r="T24" i="16"/>
  <c r="S24" i="16"/>
  <c r="J24" i="16"/>
  <c r="W23" i="16"/>
  <c r="V23" i="16"/>
  <c r="U23" i="16"/>
  <c r="S23" i="16"/>
  <c r="J23" i="16"/>
  <c r="V22" i="16"/>
  <c r="U22" i="16"/>
  <c r="Q22" i="16"/>
  <c r="N22" i="16"/>
  <c r="W31" i="16" s="1"/>
  <c r="J22" i="16"/>
  <c r="W21" i="16"/>
  <c r="V21" i="16"/>
  <c r="T21" i="16"/>
  <c r="Q21" i="16"/>
  <c r="N21" i="16"/>
  <c r="V34" i="16" s="1"/>
  <c r="J21" i="16"/>
  <c r="W20" i="16"/>
  <c r="V20" i="16"/>
  <c r="S20" i="16"/>
  <c r="Q20" i="16"/>
  <c r="N20" i="16"/>
  <c r="U29" i="16" s="1"/>
  <c r="J20" i="16"/>
  <c r="W19" i="16"/>
  <c r="V19" i="16"/>
  <c r="T19" i="16"/>
  <c r="S19" i="16"/>
  <c r="Q19" i="16"/>
  <c r="N19" i="16"/>
  <c r="T32" i="16" s="1"/>
  <c r="J19" i="16"/>
  <c r="W18" i="16"/>
  <c r="V18" i="16"/>
  <c r="T18" i="16"/>
  <c r="S18" i="16"/>
  <c r="Q18" i="16"/>
  <c r="N18" i="16"/>
  <c r="S32" i="16" s="1"/>
  <c r="J18" i="16"/>
  <c r="W17" i="16"/>
  <c r="V17" i="16"/>
  <c r="U17" i="16"/>
  <c r="T17" i="16"/>
  <c r="S17" i="16"/>
  <c r="Q17" i="16"/>
  <c r="N17" i="16"/>
  <c r="R23" i="16" s="1"/>
  <c r="J17" i="16"/>
  <c r="W16" i="16"/>
  <c r="V16" i="16"/>
  <c r="T16" i="16"/>
  <c r="S16" i="16"/>
  <c r="Q16" i="16"/>
  <c r="N16" i="16"/>
  <c r="Q33" i="16" s="1"/>
  <c r="J16" i="16"/>
  <c r="W15" i="16"/>
  <c r="V15" i="16"/>
  <c r="U15" i="16"/>
  <c r="T15" i="16"/>
  <c r="S15" i="16"/>
  <c r="Q15" i="16"/>
  <c r="J15" i="16"/>
  <c r="W14" i="16"/>
  <c r="V14" i="16"/>
  <c r="U14" i="16"/>
  <c r="S14" i="16"/>
  <c r="R14" i="16"/>
  <c r="Q14" i="16"/>
  <c r="J14" i="16"/>
  <c r="W13" i="16"/>
  <c r="V13" i="16"/>
  <c r="U13" i="16"/>
  <c r="S13" i="16"/>
  <c r="Q13" i="16"/>
  <c r="J13" i="16"/>
  <c r="W12" i="16"/>
  <c r="V12" i="16"/>
  <c r="T12" i="16"/>
  <c r="S12" i="16"/>
  <c r="Q12" i="16"/>
  <c r="J12" i="16"/>
  <c r="W11" i="16"/>
  <c r="V11" i="16"/>
  <c r="U11" i="16"/>
  <c r="T11" i="16"/>
  <c r="S11" i="16"/>
  <c r="Q11" i="16"/>
  <c r="J11" i="16"/>
  <c r="W10" i="16"/>
  <c r="V10" i="16"/>
  <c r="U10" i="16"/>
  <c r="T10" i="16"/>
  <c r="S10" i="16"/>
  <c r="Q10" i="16"/>
  <c r="J10" i="16"/>
  <c r="W9" i="16"/>
  <c r="V9" i="16"/>
  <c r="U9" i="16"/>
  <c r="T9" i="16"/>
  <c r="S9" i="16"/>
  <c r="Q9" i="16"/>
  <c r="J9" i="16"/>
  <c r="D91" i="10"/>
  <c r="C91" i="10"/>
  <c r="E90" i="10"/>
  <c r="C90" i="15" s="1"/>
  <c r="E89" i="10"/>
  <c r="C89" i="15" s="1"/>
  <c r="E88" i="10"/>
  <c r="C88" i="15" s="1"/>
  <c r="E87" i="10"/>
  <c r="C87" i="15" s="1"/>
  <c r="E86" i="10"/>
  <c r="C86" i="15" s="1"/>
  <c r="E85" i="10"/>
  <c r="C85" i="15" s="1"/>
  <c r="E84" i="10"/>
  <c r="C84" i="15" s="1"/>
  <c r="E83" i="10"/>
  <c r="C83" i="15" s="1"/>
  <c r="E82" i="10"/>
  <c r="C82" i="15" s="1"/>
  <c r="E81" i="10"/>
  <c r="C81" i="15" s="1"/>
  <c r="E80" i="10"/>
  <c r="C80" i="15" s="1"/>
  <c r="E79" i="10"/>
  <c r="C79" i="15" s="1"/>
  <c r="E78" i="10"/>
  <c r="C78" i="15" s="1"/>
  <c r="E77" i="10"/>
  <c r="C77" i="15" s="1"/>
  <c r="E76" i="10"/>
  <c r="C76" i="15" s="1"/>
  <c r="E75" i="10"/>
  <c r="C75" i="15" s="1"/>
  <c r="E74" i="10"/>
  <c r="C74" i="15" s="1"/>
  <c r="E73" i="10"/>
  <c r="C73" i="15" s="1"/>
  <c r="E72" i="10"/>
  <c r="C72" i="15" s="1"/>
  <c r="E71" i="10"/>
  <c r="C71" i="15" s="1"/>
  <c r="E70" i="10"/>
  <c r="C70" i="15" s="1"/>
  <c r="E69" i="10"/>
  <c r="C69" i="15" s="1"/>
  <c r="E68" i="10"/>
  <c r="C68" i="15" s="1"/>
  <c r="E67" i="10"/>
  <c r="C67" i="15" s="1"/>
  <c r="E66" i="10"/>
  <c r="C66" i="15" s="1"/>
  <c r="H65" i="10"/>
  <c r="E65" i="10"/>
  <c r="C65" i="15" s="1"/>
  <c r="D63" i="10"/>
  <c r="C63" i="10"/>
  <c r="E62" i="10"/>
  <c r="C62" i="15" s="1"/>
  <c r="E61" i="10"/>
  <c r="C61" i="15" s="1"/>
  <c r="E60" i="10"/>
  <c r="C60" i="15" s="1"/>
  <c r="E59" i="10"/>
  <c r="C59" i="15" s="1"/>
  <c r="E58" i="10"/>
  <c r="C58" i="15" s="1"/>
  <c r="E57" i="10"/>
  <c r="C57" i="15" s="1"/>
  <c r="E56" i="10"/>
  <c r="C56" i="15" s="1"/>
  <c r="E55" i="10"/>
  <c r="C55" i="15" s="1"/>
  <c r="E54" i="10"/>
  <c r="C54" i="15" s="1"/>
  <c r="E53" i="10"/>
  <c r="C53" i="15" s="1"/>
  <c r="E52" i="10"/>
  <c r="C52" i="15" s="1"/>
  <c r="E51" i="10"/>
  <c r="C51" i="15" s="1"/>
  <c r="E50" i="10"/>
  <c r="C50" i="15" s="1"/>
  <c r="E49" i="10"/>
  <c r="C49" i="15" s="1"/>
  <c r="E48" i="10"/>
  <c r="C48" i="15" s="1"/>
  <c r="E47" i="10"/>
  <c r="C47" i="15" s="1"/>
  <c r="E46" i="10"/>
  <c r="C46" i="15" s="1"/>
  <c r="E45" i="10"/>
  <c r="C45" i="15" s="1"/>
  <c r="E44" i="10"/>
  <c r="C44" i="15" s="1"/>
  <c r="E43" i="10"/>
  <c r="C43" i="15" s="1"/>
  <c r="E42" i="10"/>
  <c r="C42" i="15" s="1"/>
  <c r="E41" i="10"/>
  <c r="C41" i="15" s="1"/>
  <c r="E40" i="10"/>
  <c r="C40" i="15" s="1"/>
  <c r="E39" i="10"/>
  <c r="C39" i="15" s="1"/>
  <c r="E38" i="10"/>
  <c r="C38" i="15" s="1"/>
  <c r="H37" i="10"/>
  <c r="E37" i="10"/>
  <c r="C37" i="15" s="1"/>
  <c r="D35" i="10"/>
  <c r="C35" i="10"/>
  <c r="E34" i="10"/>
  <c r="C34" i="15" s="1"/>
  <c r="E33" i="10"/>
  <c r="C33" i="15" s="1"/>
  <c r="E32" i="10"/>
  <c r="C32" i="15" s="1"/>
  <c r="E31" i="10"/>
  <c r="C31" i="15" s="1"/>
  <c r="E30" i="10"/>
  <c r="C30" i="15" s="1"/>
  <c r="E29" i="10"/>
  <c r="C29" i="15" s="1"/>
  <c r="E28" i="10"/>
  <c r="C28" i="15" s="1"/>
  <c r="E27" i="10"/>
  <c r="C27" i="15" s="1"/>
  <c r="E26" i="10"/>
  <c r="C26" i="15" s="1"/>
  <c r="E25" i="10"/>
  <c r="C25" i="15" s="1"/>
  <c r="E24" i="10"/>
  <c r="C24" i="15" s="1"/>
  <c r="E23" i="10"/>
  <c r="C23" i="15" s="1"/>
  <c r="E22" i="10"/>
  <c r="C22" i="15" s="1"/>
  <c r="E21" i="10"/>
  <c r="C21" i="15" s="1"/>
  <c r="E20" i="10"/>
  <c r="C20" i="15" s="1"/>
  <c r="E19" i="10"/>
  <c r="C19" i="15" s="1"/>
  <c r="E18" i="10"/>
  <c r="C18" i="15" s="1"/>
  <c r="E17" i="10"/>
  <c r="C17" i="15" s="1"/>
  <c r="E16" i="10"/>
  <c r="C16" i="15" s="1"/>
  <c r="E15" i="10"/>
  <c r="C15" i="15" s="1"/>
  <c r="E14" i="10"/>
  <c r="C14" i="15" s="1"/>
  <c r="E13" i="10"/>
  <c r="C13" i="15" s="1"/>
  <c r="E12" i="10"/>
  <c r="C12" i="15" s="1"/>
  <c r="E11" i="10"/>
  <c r="C11" i="15" s="1"/>
  <c r="E10" i="10"/>
  <c r="C10" i="15" s="1"/>
  <c r="H9" i="10"/>
  <c r="E9" i="10"/>
  <c r="C35" i="26"/>
  <c r="B199" i="29"/>
  <c r="B135" i="29"/>
  <c r="B228" i="29"/>
  <c r="B273" i="29"/>
  <c r="B276" i="29"/>
  <c r="B240" i="29"/>
  <c r="B169" i="29"/>
  <c r="B17" i="29"/>
  <c r="B236" i="29"/>
  <c r="B258" i="29"/>
  <c r="B127" i="29"/>
  <c r="B262" i="29"/>
  <c r="B295" i="29"/>
  <c r="B257" i="29"/>
  <c r="B156" i="29"/>
  <c r="B203" i="29"/>
  <c r="B187" i="29"/>
  <c r="B21" i="29"/>
  <c r="B71" i="29"/>
  <c r="B299" i="29"/>
  <c r="B86" i="29"/>
  <c r="B198" i="29"/>
  <c r="B222" i="29"/>
  <c r="B303" i="29"/>
  <c r="B178" i="29"/>
  <c r="B61" i="29"/>
  <c r="B152" i="29"/>
  <c r="B205" i="29"/>
  <c r="B154" i="29"/>
  <c r="B171" i="29"/>
  <c r="B305" i="29"/>
  <c r="B11" i="29"/>
  <c r="B179" i="29"/>
  <c r="B146" i="29"/>
  <c r="B140" i="29"/>
  <c r="B306" i="29"/>
  <c r="B24" i="29"/>
  <c r="B50" i="29"/>
  <c r="B56" i="29"/>
  <c r="B41" i="29"/>
  <c r="B221" i="29"/>
  <c r="B150" i="29"/>
  <c r="B204" i="29"/>
  <c r="B130" i="29"/>
  <c r="B62" i="29"/>
  <c r="B225" i="29"/>
  <c r="B85" i="29"/>
  <c r="B153" i="29"/>
  <c r="B27" i="29"/>
  <c r="B200" i="29"/>
  <c r="B167" i="29"/>
  <c r="B227" i="29"/>
  <c r="B70" i="29"/>
  <c r="B261" i="29"/>
  <c r="B141" i="29"/>
  <c r="B134" i="29"/>
  <c r="B93" i="29"/>
  <c r="B300" i="29"/>
  <c r="B255" i="29"/>
  <c r="B166" i="29"/>
  <c r="B51" i="29"/>
  <c r="B267" i="29"/>
  <c r="B83" i="29"/>
  <c r="B264" i="29"/>
  <c r="B149" i="29"/>
  <c r="B79" i="29"/>
  <c r="B193" i="29"/>
  <c r="B29" i="29"/>
  <c r="B12" i="29"/>
  <c r="B164" i="29"/>
  <c r="B123" i="29"/>
  <c r="B57" i="29"/>
  <c r="B248" i="29"/>
  <c r="B64" i="29"/>
  <c r="B159" i="29"/>
  <c r="B59" i="29"/>
  <c r="B34" i="29"/>
  <c r="B162" i="29"/>
  <c r="B288" i="29"/>
  <c r="B82" i="29"/>
  <c r="B202" i="29"/>
  <c r="B36" i="29"/>
  <c r="B90" i="29"/>
  <c r="B136" i="29"/>
  <c r="B74" i="29"/>
  <c r="B287" i="29"/>
  <c r="B39" i="29"/>
  <c r="B122" i="29"/>
  <c r="B298" i="29"/>
  <c r="B20" i="29"/>
  <c r="B251" i="29"/>
  <c r="B296" i="29"/>
  <c r="B48" i="29"/>
  <c r="B14" i="29"/>
  <c r="B72" i="29"/>
  <c r="B137" i="29"/>
  <c r="B229" i="29"/>
  <c r="B201" i="29"/>
  <c r="B168" i="29"/>
  <c r="B44" i="29"/>
  <c r="B28" i="29"/>
  <c r="B275" i="29"/>
  <c r="B147" i="29"/>
  <c r="B53" i="29"/>
  <c r="B209" i="29"/>
  <c r="B80" i="29"/>
  <c r="B237" i="29"/>
  <c r="B125" i="29"/>
  <c r="B25" i="29"/>
  <c r="B98" i="29"/>
  <c r="B191" i="29"/>
  <c r="B271" i="29"/>
  <c r="B216" i="29"/>
  <c r="B87" i="29"/>
  <c r="B76" i="29"/>
  <c r="B217" i="29"/>
  <c r="B65" i="29"/>
  <c r="B277" i="29"/>
  <c r="B16" i="29"/>
  <c r="B180" i="29"/>
  <c r="B161" i="29"/>
  <c r="B301" i="29"/>
  <c r="B226" i="29"/>
  <c r="B208" i="29"/>
  <c r="B131" i="29"/>
  <c r="B279" i="29"/>
  <c r="B132" i="29"/>
  <c r="B197" i="29"/>
  <c r="B143" i="29"/>
  <c r="B165" i="29"/>
  <c r="B256" i="29"/>
  <c r="B269" i="29"/>
  <c r="B290" i="29"/>
  <c r="B294" i="29"/>
  <c r="B45" i="29"/>
  <c r="B124" i="29"/>
  <c r="B234" i="29"/>
  <c r="B176" i="29"/>
  <c r="B304" i="29"/>
  <c r="B151" i="29"/>
  <c r="B78" i="29"/>
  <c r="B42" i="29"/>
  <c r="B285" i="29"/>
  <c r="B181" i="29"/>
  <c r="B97" i="29"/>
  <c r="B263" i="29"/>
  <c r="B272" i="29"/>
  <c r="B112" i="29"/>
  <c r="B139" i="29"/>
  <c r="B155" i="29"/>
  <c r="B207" i="29"/>
  <c r="B266" i="29"/>
  <c r="B173" i="29"/>
  <c r="B49" i="29"/>
  <c r="B38" i="29"/>
  <c r="B33" i="29"/>
  <c r="B223" i="29"/>
  <c r="B280" i="29"/>
  <c r="B291" i="29"/>
  <c r="B194" i="29"/>
  <c r="B100" i="29"/>
  <c r="B249" i="29"/>
  <c r="B215" i="29"/>
  <c r="B253" i="29"/>
  <c r="B37" i="29"/>
  <c r="B274" i="29"/>
  <c r="B219" i="29"/>
  <c r="B210" i="29"/>
  <c r="B213" i="29"/>
  <c r="B144" i="29"/>
  <c r="B246" i="29"/>
  <c r="B68" i="29"/>
  <c r="B293" i="29"/>
  <c r="B23" i="29"/>
  <c r="B230" i="29"/>
  <c r="B182" i="29"/>
  <c r="B247" i="29"/>
  <c r="B88" i="29"/>
  <c r="B96" i="29"/>
  <c r="B142" i="29"/>
  <c r="B114" i="29"/>
  <c r="B224" i="29"/>
  <c r="B250" i="29"/>
  <c r="B302" i="29"/>
  <c r="B10" i="29"/>
  <c r="B192" i="29"/>
  <c r="B232" i="29"/>
  <c r="B95" i="29"/>
  <c r="B239" i="29"/>
  <c r="B47" i="29"/>
  <c r="B22" i="29"/>
  <c r="B270" i="29"/>
  <c r="B174" i="29"/>
  <c r="B32" i="29"/>
  <c r="B129" i="29"/>
  <c r="B110" i="29"/>
  <c r="B52" i="29"/>
  <c r="B55" i="29"/>
  <c r="B265" i="29"/>
  <c r="B126" i="29"/>
  <c r="B172" i="29"/>
  <c r="B30" i="29"/>
  <c r="B278" i="29"/>
  <c r="B26" i="29"/>
  <c r="B58" i="29"/>
  <c r="B183" i="29"/>
  <c r="B282" i="29"/>
  <c r="B189" i="29"/>
  <c r="B111" i="29"/>
  <c r="B99" i="29"/>
  <c r="B157" i="29"/>
  <c r="B145" i="29"/>
  <c r="B163" i="29"/>
  <c r="B19" i="29"/>
  <c r="B259" i="29"/>
  <c r="B177" i="29"/>
  <c r="B297" i="29"/>
  <c r="B63" i="29"/>
  <c r="B9" i="29"/>
  <c r="B103" i="29"/>
  <c r="B138" i="29"/>
  <c r="B66" i="29"/>
  <c r="B91" i="29"/>
  <c r="B241" i="29"/>
  <c r="B40" i="29"/>
  <c r="B211" i="29"/>
  <c r="B281" i="29"/>
  <c r="B284" i="29"/>
  <c r="B46" i="29"/>
  <c r="B43" i="29"/>
  <c r="B89" i="29"/>
  <c r="B268" i="29"/>
  <c r="B170" i="29"/>
  <c r="B238" i="29"/>
  <c r="B69" i="29"/>
  <c r="B15" i="29"/>
  <c r="B67" i="29"/>
  <c r="B115" i="29"/>
  <c r="B220" i="29"/>
  <c r="B35" i="29"/>
  <c r="B212" i="29"/>
  <c r="B252" i="29"/>
  <c r="B235" i="29"/>
  <c r="B54" i="29"/>
  <c r="B60" i="29"/>
  <c r="B243" i="29"/>
  <c r="B218" i="29"/>
  <c r="B214" i="29"/>
  <c r="B195" i="29"/>
  <c r="B92" i="29"/>
  <c r="B307" i="29"/>
  <c r="B133" i="29"/>
  <c r="B260" i="29"/>
  <c r="B292" i="29"/>
  <c r="B242" i="29"/>
  <c r="B18" i="29"/>
  <c r="B231" i="29"/>
  <c r="B148" i="29"/>
  <c r="B31" i="29"/>
  <c r="B206" i="29"/>
  <c r="B190" i="29"/>
  <c r="B245" i="29"/>
  <c r="B106" i="29"/>
  <c r="B244" i="29"/>
  <c r="B128" i="29"/>
  <c r="B289" i="29"/>
  <c r="B286" i="29"/>
  <c r="B94" i="29"/>
  <c r="B283" i="29"/>
  <c r="B254" i="29"/>
  <c r="B118" i="29"/>
  <c r="B81" i="29"/>
  <c r="B158" i="29"/>
  <c r="B184" i="29"/>
  <c r="B26" i="38" l="1"/>
  <c r="B25" i="24"/>
  <c r="B25" i="6"/>
  <c r="B25" i="22"/>
  <c r="B25" i="19"/>
  <c r="B25" i="15"/>
  <c r="B53" i="15"/>
  <c r="B81" i="15"/>
  <c r="B81" i="13"/>
  <c r="B25" i="35"/>
  <c r="B25" i="12"/>
  <c r="B25" i="18"/>
  <c r="B53" i="13"/>
  <c r="B25" i="13"/>
  <c r="B53" i="35"/>
  <c r="P53" i="16"/>
  <c r="B53" i="16"/>
  <c r="P81" i="16"/>
  <c r="B81" i="16"/>
  <c r="P25" i="16"/>
  <c r="B81" i="10"/>
  <c r="B25" i="16"/>
  <c r="B53" i="10"/>
  <c r="B25" i="26"/>
  <c r="B81" i="35"/>
  <c r="B25" i="10"/>
  <c r="M75" i="13"/>
  <c r="C12" i="39"/>
  <c r="B1" i="6"/>
  <c r="M12" i="13"/>
  <c r="M76" i="13"/>
  <c r="M40" i="13"/>
  <c r="C11" i="39"/>
  <c r="C19" i="30"/>
  <c r="C20" i="30"/>
  <c r="B1" i="16"/>
  <c r="P1" i="16" s="1"/>
  <c r="E6" i="35"/>
  <c r="N10" i="38"/>
  <c r="B25" i="38"/>
  <c r="B24" i="6"/>
  <c r="B24" i="24"/>
  <c r="B24" i="22"/>
  <c r="B24" i="19"/>
  <c r="B24" i="15"/>
  <c r="B24" i="18"/>
  <c r="B52" i="15"/>
  <c r="B80" i="15"/>
  <c r="B24" i="13"/>
  <c r="B52" i="35"/>
  <c r="B80" i="35"/>
  <c r="B80" i="13"/>
  <c r="B52" i="13"/>
  <c r="B24" i="35"/>
  <c r="P80" i="16"/>
  <c r="B80" i="16"/>
  <c r="B24" i="16"/>
  <c r="B24" i="10"/>
  <c r="B24" i="12"/>
  <c r="B24" i="26"/>
  <c r="P52" i="16"/>
  <c r="B52" i="16"/>
  <c r="B80" i="10"/>
  <c r="P24" i="16"/>
  <c r="B52" i="10"/>
  <c r="D7" i="19"/>
  <c r="N11" i="38"/>
  <c r="C25" i="30"/>
  <c r="B33" i="38"/>
  <c r="B32" i="6"/>
  <c r="B32" i="24"/>
  <c r="B32" i="22"/>
  <c r="B32" i="19"/>
  <c r="B32" i="15"/>
  <c r="B60" i="15"/>
  <c r="B88" i="15"/>
  <c r="B32" i="18"/>
  <c r="B32" i="13"/>
  <c r="B60" i="35"/>
  <c r="B88" i="35"/>
  <c r="B88" i="13"/>
  <c r="B60" i="13"/>
  <c r="B32" i="35"/>
  <c r="B32" i="12"/>
  <c r="B88" i="16"/>
  <c r="B60" i="16"/>
  <c r="P88" i="16"/>
  <c r="B32" i="10"/>
  <c r="B32" i="26"/>
  <c r="P32" i="16"/>
  <c r="B32" i="16"/>
  <c r="B88" i="10"/>
  <c r="P60" i="16"/>
  <c r="B60" i="10"/>
  <c r="E7" i="16"/>
  <c r="S7" i="16"/>
  <c r="R5" i="16"/>
  <c r="K73" i="35"/>
  <c r="K17" i="35"/>
  <c r="K45" i="35"/>
  <c r="F7" i="6"/>
  <c r="G7" i="22"/>
  <c r="C20" i="39"/>
  <c r="O20" i="38"/>
  <c r="C26" i="30"/>
  <c r="B34" i="38"/>
  <c r="B33" i="6"/>
  <c r="B33" i="24"/>
  <c r="B33" i="19"/>
  <c r="B33" i="22"/>
  <c r="B33" i="15"/>
  <c r="B33" i="18"/>
  <c r="B61" i="15"/>
  <c r="B89" i="13"/>
  <c r="B33" i="35"/>
  <c r="B33" i="12"/>
  <c r="B61" i="13"/>
  <c r="B89" i="15"/>
  <c r="B33" i="13"/>
  <c r="B61" i="35"/>
  <c r="P89" i="16"/>
  <c r="P61" i="16"/>
  <c r="B89" i="16"/>
  <c r="B61" i="16"/>
  <c r="B89" i="35"/>
  <c r="P33" i="16"/>
  <c r="B33" i="16"/>
  <c r="B89" i="10"/>
  <c r="B61" i="10"/>
  <c r="B33" i="26"/>
  <c r="B33" i="10"/>
  <c r="B2" i="26"/>
  <c r="T7" i="16"/>
  <c r="F7" i="16"/>
  <c r="S5" i="16"/>
  <c r="K38" i="35"/>
  <c r="K66" i="35"/>
  <c r="K10" i="35"/>
  <c r="C7" i="15"/>
  <c r="G7" i="6"/>
  <c r="G6" i="22"/>
  <c r="C21" i="39"/>
  <c r="M23" i="38"/>
  <c r="C33" i="30"/>
  <c r="D8" i="24"/>
  <c r="F8" i="22"/>
  <c r="H8" i="24"/>
  <c r="G8" i="24"/>
  <c r="C9" i="21"/>
  <c r="F8" i="6"/>
  <c r="D18" i="28"/>
  <c r="G8" i="22"/>
  <c r="D17" i="28"/>
  <c r="H8" i="19"/>
  <c r="F8" i="24"/>
  <c r="J14" i="6"/>
  <c r="G8" i="6"/>
  <c r="I8" i="10"/>
  <c r="C7" i="26"/>
  <c r="K78" i="35"/>
  <c r="K22" i="35"/>
  <c r="K50" i="35"/>
  <c r="H38" i="19"/>
  <c r="B1" i="21"/>
  <c r="D7" i="24"/>
  <c r="N32" i="38"/>
  <c r="B10" i="38"/>
  <c r="B9" i="24"/>
  <c r="B9" i="22"/>
  <c r="B9" i="19"/>
  <c r="B9" i="6"/>
  <c r="B9" i="15"/>
  <c r="B37" i="15"/>
  <c r="B65" i="15"/>
  <c r="B9" i="13"/>
  <c r="B37" i="35"/>
  <c r="B65" i="13"/>
  <c r="B9" i="18"/>
  <c r="B65" i="35"/>
  <c r="B9" i="35"/>
  <c r="B65" i="16"/>
  <c r="P37" i="16"/>
  <c r="B9" i="12"/>
  <c r="B9" i="10"/>
  <c r="B37" i="13"/>
  <c r="P65" i="16"/>
  <c r="B9" i="26"/>
  <c r="B9" i="16"/>
  <c r="B37" i="10"/>
  <c r="B65" i="10"/>
  <c r="B37" i="16"/>
  <c r="P9" i="16"/>
  <c r="P33" i="38"/>
  <c r="K9" i="38"/>
  <c r="C9" i="38"/>
  <c r="D15" i="39"/>
  <c r="P40" i="38"/>
  <c r="P36" i="38"/>
  <c r="P11" i="38"/>
  <c r="I9" i="38"/>
  <c r="D20" i="39"/>
  <c r="P41" i="38"/>
  <c r="P27" i="38"/>
  <c r="H9" i="38"/>
  <c r="P8" i="38"/>
  <c r="P34" i="38"/>
  <c r="P31" i="38"/>
  <c r="G9" i="38"/>
  <c r="P7" i="38"/>
  <c r="D18" i="39"/>
  <c r="P38" i="38"/>
  <c r="P28" i="38"/>
  <c r="F9" i="38"/>
  <c r="D9" i="38"/>
  <c r="P32" i="38"/>
  <c r="P6" i="38"/>
  <c r="D10" i="39"/>
  <c r="D9" i="39"/>
  <c r="P35" i="38"/>
  <c r="P9" i="38"/>
  <c r="D19" i="39"/>
  <c r="D13" i="39"/>
  <c r="D21" i="39"/>
  <c r="D14" i="39"/>
  <c r="D11" i="39"/>
  <c r="D13" i="28"/>
  <c r="D9" i="28"/>
  <c r="P39" i="38"/>
  <c r="E9" i="38"/>
  <c r="D11" i="28"/>
  <c r="P12" i="38"/>
  <c r="D10" i="28"/>
  <c r="F8" i="19"/>
  <c r="E8" i="19"/>
  <c r="D14" i="28"/>
  <c r="D8" i="19"/>
  <c r="D8" i="15"/>
  <c r="D8" i="13"/>
  <c r="G8" i="35"/>
  <c r="C8" i="15"/>
  <c r="N75" i="13"/>
  <c r="C8" i="13"/>
  <c r="F8" i="35"/>
  <c r="E8" i="35"/>
  <c r="C8" i="19"/>
  <c r="N69" i="13"/>
  <c r="I8" i="13"/>
  <c r="D8" i="35"/>
  <c r="H8" i="15"/>
  <c r="H8" i="13"/>
  <c r="C8" i="35"/>
  <c r="G8" i="15"/>
  <c r="N70" i="13"/>
  <c r="G8" i="13"/>
  <c r="F8" i="15"/>
  <c r="E8" i="13"/>
  <c r="C8" i="12"/>
  <c r="H8" i="35"/>
  <c r="E8" i="15"/>
  <c r="I8" i="12"/>
  <c r="G8" i="12"/>
  <c r="F8" i="13"/>
  <c r="F8" i="12"/>
  <c r="X8" i="16"/>
  <c r="C8" i="16"/>
  <c r="D8" i="12"/>
  <c r="W8" i="16"/>
  <c r="J8" i="16"/>
  <c r="V8" i="16"/>
  <c r="I8" i="16"/>
  <c r="U8" i="16"/>
  <c r="H8" i="16"/>
  <c r="S8" i="16"/>
  <c r="F8" i="16"/>
  <c r="D8" i="10"/>
  <c r="R8" i="16"/>
  <c r="E8" i="16"/>
  <c r="T8" i="16"/>
  <c r="D8" i="16"/>
  <c r="Q8" i="16"/>
  <c r="E8" i="10"/>
  <c r="N74" i="13"/>
  <c r="G8" i="16"/>
  <c r="J8" i="12"/>
  <c r="D7" i="26"/>
  <c r="E7" i="24"/>
  <c r="N33" i="38"/>
  <c r="E2" i="30"/>
  <c r="B17" i="38"/>
  <c r="B16" i="24"/>
  <c r="B16" i="22"/>
  <c r="B16" i="19"/>
  <c r="B16" i="6"/>
  <c r="B16" i="15"/>
  <c r="B44" i="15"/>
  <c r="B72" i="15"/>
  <c r="B16" i="18"/>
  <c r="B16" i="13"/>
  <c r="B44" i="35"/>
  <c r="B72" i="35"/>
  <c r="B16" i="35"/>
  <c r="B72" i="13"/>
  <c r="B44" i="13"/>
  <c r="B44" i="16"/>
  <c r="B16" i="10"/>
  <c r="B16" i="16"/>
  <c r="B16" i="26"/>
  <c r="P44" i="16"/>
  <c r="B72" i="10"/>
  <c r="B16" i="12"/>
  <c r="B72" i="16"/>
  <c r="P72" i="16"/>
  <c r="B44" i="10"/>
  <c r="P16" i="16"/>
  <c r="C43" i="30"/>
  <c r="L66" i="16"/>
  <c r="B1" i="35"/>
  <c r="L7" i="13"/>
  <c r="C11" i="28"/>
  <c r="B9" i="21"/>
  <c r="B1" i="39"/>
  <c r="B38" i="38"/>
  <c r="N40" i="38"/>
  <c r="B13" i="30"/>
  <c r="B18" i="38"/>
  <c r="B17" i="24"/>
  <c r="B17" i="6"/>
  <c r="B17" i="19"/>
  <c r="B17" i="22"/>
  <c r="B17" i="15"/>
  <c r="B17" i="18"/>
  <c r="B45" i="15"/>
  <c r="B73" i="15"/>
  <c r="B73" i="13"/>
  <c r="B45" i="13"/>
  <c r="B45" i="35"/>
  <c r="B17" i="13"/>
  <c r="P45" i="16"/>
  <c r="B17" i="12"/>
  <c r="B73" i="16"/>
  <c r="B17" i="35"/>
  <c r="B73" i="35"/>
  <c r="P17" i="16"/>
  <c r="B73" i="10"/>
  <c r="B45" i="16"/>
  <c r="B45" i="10"/>
  <c r="B17" i="26"/>
  <c r="B17" i="16"/>
  <c r="P73" i="16"/>
  <c r="B17" i="10"/>
  <c r="M38" i="13"/>
  <c r="M66" i="13"/>
  <c r="M10" i="13"/>
  <c r="C12" i="28"/>
  <c r="D38" i="38"/>
  <c r="N41" i="38"/>
  <c r="C21" i="30"/>
  <c r="C27" i="30"/>
  <c r="B10" i="22"/>
  <c r="B11" i="38"/>
  <c r="B10" i="24"/>
  <c r="B10" i="6"/>
  <c r="B10" i="19"/>
  <c r="B10" i="18"/>
  <c r="B10" i="15"/>
  <c r="B38" i="15"/>
  <c r="B66" i="35"/>
  <c r="B10" i="35"/>
  <c r="B38" i="13"/>
  <c r="B66" i="15"/>
  <c r="B38" i="35"/>
  <c r="B66" i="13"/>
  <c r="P66" i="16"/>
  <c r="B66" i="16"/>
  <c r="B10" i="26"/>
  <c r="B66" i="10"/>
  <c r="B10" i="16"/>
  <c r="B10" i="12"/>
  <c r="B38" i="10"/>
  <c r="B10" i="13"/>
  <c r="B10" i="10"/>
  <c r="P38" i="16"/>
  <c r="B38" i="16"/>
  <c r="P10" i="16"/>
  <c r="B19" i="38"/>
  <c r="B18" i="22"/>
  <c r="B18" i="24"/>
  <c r="B18" i="6"/>
  <c r="B18" i="19"/>
  <c r="B18" i="18"/>
  <c r="B18" i="15"/>
  <c r="B46" i="15"/>
  <c r="B74" i="35"/>
  <c r="B18" i="13"/>
  <c r="B18" i="35"/>
  <c r="B74" i="13"/>
  <c r="B74" i="15"/>
  <c r="P74" i="16"/>
  <c r="B46" i="13"/>
  <c r="P46" i="16"/>
  <c r="B46" i="35"/>
  <c r="B18" i="26"/>
  <c r="B74" i="10"/>
  <c r="B18" i="16"/>
  <c r="B74" i="16"/>
  <c r="B46" i="10"/>
  <c r="B18" i="10"/>
  <c r="B18" i="12"/>
  <c r="P18" i="16"/>
  <c r="B46" i="16"/>
  <c r="B26" i="22"/>
  <c r="B27" i="38"/>
  <c r="B26" i="24"/>
  <c r="B26" i="6"/>
  <c r="B26" i="19"/>
  <c r="B26" i="18"/>
  <c r="B26" i="15"/>
  <c r="B54" i="15"/>
  <c r="B82" i="15"/>
  <c r="B54" i="35"/>
  <c r="B26" i="13"/>
  <c r="B82" i="35"/>
  <c r="B82" i="13"/>
  <c r="B26" i="35"/>
  <c r="B54" i="13"/>
  <c r="B82" i="16"/>
  <c r="P54" i="16"/>
  <c r="B54" i="16"/>
  <c r="P26" i="16"/>
  <c r="B26" i="26"/>
  <c r="B82" i="10"/>
  <c r="P82" i="16"/>
  <c r="B26" i="16"/>
  <c r="B54" i="10"/>
  <c r="B26" i="10"/>
  <c r="B26" i="12"/>
  <c r="B35" i="38"/>
  <c r="B34" i="22"/>
  <c r="B34" i="6"/>
  <c r="B34" i="19"/>
  <c r="B90" i="15"/>
  <c r="B34" i="18"/>
  <c r="B34" i="24"/>
  <c r="B34" i="15"/>
  <c r="B62" i="15"/>
  <c r="B62" i="35"/>
  <c r="B34" i="13"/>
  <c r="B90" i="35"/>
  <c r="B90" i="13"/>
  <c r="B34" i="35"/>
  <c r="B34" i="12"/>
  <c r="B62" i="13"/>
  <c r="B34" i="16"/>
  <c r="P90" i="16"/>
  <c r="P62" i="16"/>
  <c r="P34" i="16"/>
  <c r="B34" i="26"/>
  <c r="B90" i="10"/>
  <c r="B62" i="10"/>
  <c r="B34" i="10"/>
  <c r="B62" i="16"/>
  <c r="B90" i="16"/>
  <c r="D8" i="22"/>
  <c r="C8" i="18"/>
  <c r="E8" i="24"/>
  <c r="D16" i="28"/>
  <c r="F8" i="18"/>
  <c r="E8" i="18"/>
  <c r="G8" i="19"/>
  <c r="D8" i="18"/>
  <c r="C8" i="10"/>
  <c r="E8" i="26"/>
  <c r="C6" i="10"/>
  <c r="G7" i="16"/>
  <c r="U7" i="16"/>
  <c r="T5" i="16"/>
  <c r="H5" i="35"/>
  <c r="K67" i="35"/>
  <c r="K11" i="35"/>
  <c r="K39" i="35"/>
  <c r="M68" i="13"/>
  <c r="C6" i="13"/>
  <c r="E7" i="13"/>
  <c r="I7" i="13"/>
  <c r="H7" i="13"/>
  <c r="D7" i="15"/>
  <c r="F7" i="19"/>
  <c r="C13" i="28"/>
  <c r="I10" i="6"/>
  <c r="F7" i="24"/>
  <c r="C13" i="39"/>
  <c r="C23" i="39"/>
  <c r="M2" i="38"/>
  <c r="N12" i="38"/>
  <c r="M26" i="38"/>
  <c r="N34" i="38"/>
  <c r="N42" i="38"/>
  <c r="C28" i="30"/>
  <c r="B12" i="38"/>
  <c r="B11" i="24"/>
  <c r="B11" i="22"/>
  <c r="B11" i="6"/>
  <c r="B11" i="19"/>
  <c r="B11" i="18"/>
  <c r="B11" i="15"/>
  <c r="B39" i="15"/>
  <c r="B39" i="35"/>
  <c r="B67" i="13"/>
  <c r="B11" i="13"/>
  <c r="B67" i="15"/>
  <c r="B67" i="35"/>
  <c r="B11" i="35"/>
  <c r="P39" i="16"/>
  <c r="B67" i="16"/>
  <c r="B11" i="12"/>
  <c r="B39" i="13"/>
  <c r="P67" i="16"/>
  <c r="B39" i="10"/>
  <c r="P11" i="16"/>
  <c r="B11" i="10"/>
  <c r="B11" i="26"/>
  <c r="B11" i="16"/>
  <c r="B39" i="16"/>
  <c r="B67" i="10"/>
  <c r="B20" i="38"/>
  <c r="B19" i="24"/>
  <c r="B19" i="22"/>
  <c r="B19" i="19"/>
  <c r="B19" i="18"/>
  <c r="B19" i="6"/>
  <c r="B19" i="15"/>
  <c r="B47" i="15"/>
  <c r="B47" i="35"/>
  <c r="B47" i="13"/>
  <c r="B75" i="35"/>
  <c r="B75" i="15"/>
  <c r="B75" i="16"/>
  <c r="B75" i="13"/>
  <c r="B19" i="12"/>
  <c r="P47" i="16"/>
  <c r="B19" i="13"/>
  <c r="B47" i="10"/>
  <c r="P19" i="16"/>
  <c r="B19" i="35"/>
  <c r="B47" i="16"/>
  <c r="B19" i="10"/>
  <c r="B19" i="26"/>
  <c r="B19" i="16"/>
  <c r="B75" i="10"/>
  <c r="P75" i="16"/>
  <c r="B28" i="38"/>
  <c r="B27" i="24"/>
  <c r="B27" i="22"/>
  <c r="B27" i="19"/>
  <c r="B27" i="18"/>
  <c r="B27" i="6"/>
  <c r="B27" i="15"/>
  <c r="B55" i="15"/>
  <c r="B83" i="13"/>
  <c r="B27" i="35"/>
  <c r="B27" i="12"/>
  <c r="B55" i="13"/>
  <c r="B55" i="35"/>
  <c r="B83" i="35"/>
  <c r="B83" i="15"/>
  <c r="P83" i="16"/>
  <c r="P55" i="16"/>
  <c r="B27" i="13"/>
  <c r="B55" i="16"/>
  <c r="B83" i="16"/>
  <c r="B55" i="10"/>
  <c r="B27" i="10"/>
  <c r="B27" i="26"/>
  <c r="P27" i="16"/>
  <c r="B83" i="10"/>
  <c r="B27" i="16"/>
  <c r="B36" i="38"/>
  <c r="B35" i="24"/>
  <c r="B35" i="22"/>
  <c r="B35" i="19"/>
  <c r="B35" i="18"/>
  <c r="B91" i="15"/>
  <c r="B35" i="6"/>
  <c r="B35" i="15"/>
  <c r="B63" i="15"/>
  <c r="B91" i="13"/>
  <c r="B35" i="35"/>
  <c r="B35" i="12"/>
  <c r="B63" i="13"/>
  <c r="B63" i="35"/>
  <c r="B91" i="35"/>
  <c r="B35" i="13"/>
  <c r="B91" i="16"/>
  <c r="B63" i="16"/>
  <c r="B35" i="16"/>
  <c r="B63" i="10"/>
  <c r="P63" i="16"/>
  <c r="P91" i="16"/>
  <c r="B35" i="10"/>
  <c r="B35" i="26"/>
  <c r="B91" i="10"/>
  <c r="P35" i="16"/>
  <c r="C8" i="24"/>
  <c r="C8" i="22"/>
  <c r="I8" i="24"/>
  <c r="J11" i="6"/>
  <c r="J10" i="6"/>
  <c r="E8" i="6"/>
  <c r="D8" i="6"/>
  <c r="I8" i="19"/>
  <c r="C8" i="6"/>
  <c r="F7" i="26"/>
  <c r="C7" i="10"/>
  <c r="H7" i="16"/>
  <c r="V7" i="16"/>
  <c r="L71" i="16"/>
  <c r="M15" i="16"/>
  <c r="M76" i="16"/>
  <c r="M43" i="16"/>
  <c r="U5" i="16"/>
  <c r="C7" i="35"/>
  <c r="E7" i="35"/>
  <c r="K68" i="35"/>
  <c r="K12" i="35"/>
  <c r="K40" i="35"/>
  <c r="M69" i="13"/>
  <c r="I6" i="13"/>
  <c r="E7" i="15"/>
  <c r="G7" i="19"/>
  <c r="C14" i="28"/>
  <c r="I11" i="6"/>
  <c r="G7" i="24"/>
  <c r="C14" i="39"/>
  <c r="C24" i="39"/>
  <c r="B2" i="38"/>
  <c r="M5" i="38"/>
  <c r="M43" i="38"/>
  <c r="M13" i="38"/>
  <c r="N27" i="38"/>
  <c r="N35" i="38"/>
  <c r="N44" i="38"/>
  <c r="C29" i="30"/>
  <c r="B12" i="24"/>
  <c r="B13" i="38"/>
  <c r="B12" i="22"/>
  <c r="B12" i="6"/>
  <c r="B12" i="19"/>
  <c r="B68" i="15"/>
  <c r="B12" i="18"/>
  <c r="B12" i="15"/>
  <c r="B40" i="15"/>
  <c r="B40" i="13"/>
  <c r="B40" i="35"/>
  <c r="B68" i="13"/>
  <c r="B12" i="13"/>
  <c r="B12" i="35"/>
  <c r="B68" i="16"/>
  <c r="B68" i="35"/>
  <c r="P12" i="16"/>
  <c r="B12" i="10"/>
  <c r="P40" i="16"/>
  <c r="B12" i="16"/>
  <c r="P68" i="16"/>
  <c r="B68" i="10"/>
  <c r="B40" i="10"/>
  <c r="B40" i="16"/>
  <c r="B12" i="26"/>
  <c r="B12" i="12"/>
  <c r="B21" i="38"/>
  <c r="B20" i="6"/>
  <c r="B20" i="24"/>
  <c r="B20" i="22"/>
  <c r="B20" i="19"/>
  <c r="B76" i="15"/>
  <c r="B20" i="15"/>
  <c r="B20" i="18"/>
  <c r="B48" i="13"/>
  <c r="B20" i="35"/>
  <c r="B20" i="13"/>
  <c r="B48" i="15"/>
  <c r="B48" i="35"/>
  <c r="B76" i="35"/>
  <c r="B76" i="13"/>
  <c r="P76" i="16"/>
  <c r="P48" i="16"/>
  <c r="B20" i="12"/>
  <c r="B76" i="16"/>
  <c r="B20" i="16"/>
  <c r="B20" i="10"/>
  <c r="B48" i="16"/>
  <c r="P20" i="16"/>
  <c r="B76" i="10"/>
  <c r="B20" i="26"/>
  <c r="B48" i="10"/>
  <c r="B29" i="38"/>
  <c r="B28" i="6"/>
  <c r="B28" i="24"/>
  <c r="B28" i="22"/>
  <c r="B28" i="19"/>
  <c r="B84" i="15"/>
  <c r="B28" i="18"/>
  <c r="B28" i="15"/>
  <c r="B56" i="15"/>
  <c r="B56" i="13"/>
  <c r="B56" i="35"/>
  <c r="B84" i="35"/>
  <c r="B28" i="13"/>
  <c r="B84" i="13"/>
  <c r="B28" i="35"/>
  <c r="B28" i="12"/>
  <c r="B84" i="16"/>
  <c r="B56" i="16"/>
  <c r="P28" i="16"/>
  <c r="B28" i="10"/>
  <c r="B84" i="10"/>
  <c r="P56" i="16"/>
  <c r="B28" i="26"/>
  <c r="P84" i="16"/>
  <c r="B56" i="10"/>
  <c r="B28" i="16"/>
  <c r="B3" i="38"/>
  <c r="B5" i="22"/>
  <c r="B5" i="24"/>
  <c r="B6" i="6"/>
  <c r="B4" i="18"/>
  <c r="B5" i="19"/>
  <c r="B6" i="15"/>
  <c r="B3" i="35"/>
  <c r="B4" i="13"/>
  <c r="B4" i="12"/>
  <c r="P4" i="16"/>
  <c r="B4" i="10"/>
  <c r="B4" i="16"/>
  <c r="P10" i="38"/>
  <c r="D24" i="39"/>
  <c r="J9" i="38"/>
  <c r="P42" i="38"/>
  <c r="D23" i="39"/>
  <c r="P29" i="38"/>
  <c r="D26" i="39"/>
  <c r="C10" i="21"/>
  <c r="C12" i="21"/>
  <c r="D12" i="39"/>
  <c r="J12" i="6"/>
  <c r="D12" i="28"/>
  <c r="D19" i="28"/>
  <c r="N66" i="13"/>
  <c r="N10" i="13"/>
  <c r="N38" i="13"/>
  <c r="B36" i="26"/>
  <c r="D7" i="10"/>
  <c r="I7" i="16"/>
  <c r="W7" i="16"/>
  <c r="L72" i="16"/>
  <c r="N43" i="16"/>
  <c r="N76" i="16"/>
  <c r="N15" i="16"/>
  <c r="V5" i="16"/>
  <c r="F7" i="12"/>
  <c r="I7" i="12"/>
  <c r="C7" i="12"/>
  <c r="D7" i="35"/>
  <c r="F7" i="35"/>
  <c r="K41" i="35"/>
  <c r="K13" i="35"/>
  <c r="K69" i="35"/>
  <c r="M70" i="13"/>
  <c r="F7" i="15"/>
  <c r="C6" i="18"/>
  <c r="H7" i="19"/>
  <c r="C16" i="28"/>
  <c r="I12" i="6"/>
  <c r="C7" i="22"/>
  <c r="H7" i="24"/>
  <c r="C15" i="39"/>
  <c r="C26" i="39"/>
  <c r="C5" i="38"/>
  <c r="N6" i="38"/>
  <c r="N16" i="38"/>
  <c r="N28" i="38"/>
  <c r="N36" i="38"/>
  <c r="M45" i="38"/>
  <c r="C22" i="30"/>
  <c r="C30" i="30"/>
  <c r="B14" i="38"/>
  <c r="B13" i="24"/>
  <c r="B13" i="6"/>
  <c r="B13" i="19"/>
  <c r="B13" i="22"/>
  <c r="B13" i="18"/>
  <c r="B69" i="15"/>
  <c r="B13" i="15"/>
  <c r="B69" i="13"/>
  <c r="B13" i="13"/>
  <c r="B69" i="35"/>
  <c r="B13" i="35"/>
  <c r="B41" i="13"/>
  <c r="P41" i="16"/>
  <c r="B13" i="12"/>
  <c r="B69" i="16"/>
  <c r="B13" i="26"/>
  <c r="B41" i="15"/>
  <c r="B41" i="16"/>
  <c r="B69" i="10"/>
  <c r="B41" i="35"/>
  <c r="B41" i="10"/>
  <c r="P69" i="16"/>
  <c r="B13" i="10"/>
  <c r="P13" i="16"/>
  <c r="B13" i="16"/>
  <c r="B22" i="38"/>
  <c r="B21" i="24"/>
  <c r="B21" i="19"/>
  <c r="B21" i="6"/>
  <c r="B77" i="15"/>
  <c r="B21" i="22"/>
  <c r="B21" i="18"/>
  <c r="B21" i="15"/>
  <c r="B49" i="35"/>
  <c r="B77" i="13"/>
  <c r="B21" i="13"/>
  <c r="B77" i="35"/>
  <c r="B49" i="15"/>
  <c r="B21" i="35"/>
  <c r="B77" i="16"/>
  <c r="B49" i="16"/>
  <c r="B21" i="12"/>
  <c r="B49" i="13"/>
  <c r="P77" i="16"/>
  <c r="P49" i="16"/>
  <c r="P21" i="16"/>
  <c r="B21" i="26"/>
  <c r="B77" i="10"/>
  <c r="B49" i="10"/>
  <c r="B21" i="10"/>
  <c r="B21" i="16"/>
  <c r="B30" i="38"/>
  <c r="B29" i="24"/>
  <c r="B29" i="6"/>
  <c r="B29" i="19"/>
  <c r="B29" i="22"/>
  <c r="B29" i="18"/>
  <c r="B85" i="15"/>
  <c r="B29" i="15"/>
  <c r="B85" i="13"/>
  <c r="B29" i="13"/>
  <c r="B29" i="35"/>
  <c r="B29" i="12"/>
  <c r="B57" i="35"/>
  <c r="P85" i="16"/>
  <c r="P57" i="16"/>
  <c r="B57" i="13"/>
  <c r="B57" i="16"/>
  <c r="P29" i="16"/>
  <c r="B29" i="26"/>
  <c r="B57" i="15"/>
  <c r="B85" i="16"/>
  <c r="B29" i="16"/>
  <c r="B85" i="10"/>
  <c r="B57" i="10"/>
  <c r="B29" i="10"/>
  <c r="B85" i="35"/>
  <c r="Q25" i="38"/>
  <c r="E7" i="39"/>
  <c r="Q4" i="38"/>
  <c r="B6" i="22"/>
  <c r="B4" i="38"/>
  <c r="B6" i="24"/>
  <c r="B5" i="18"/>
  <c r="B6" i="19"/>
  <c r="B4" i="35"/>
  <c r="E8" i="28"/>
  <c r="B5" i="13"/>
  <c r="B5" i="12"/>
  <c r="B5" i="16"/>
  <c r="B5" i="10"/>
  <c r="P5" i="16"/>
  <c r="D8" i="26"/>
  <c r="E6" i="10"/>
  <c r="C3" i="16"/>
  <c r="J6" i="16"/>
  <c r="L73" i="16"/>
  <c r="X6" i="16"/>
  <c r="W5" i="16"/>
  <c r="J7" i="12"/>
  <c r="G7" i="12"/>
  <c r="D7" i="12"/>
  <c r="C5" i="35"/>
  <c r="K5" i="35"/>
  <c r="K75" i="35"/>
  <c r="K19" i="35"/>
  <c r="K47" i="35"/>
  <c r="M39" i="13"/>
  <c r="M71" i="13"/>
  <c r="M11" i="13"/>
  <c r="G7" i="15"/>
  <c r="F6" i="18"/>
  <c r="I7" i="19"/>
  <c r="C17" i="28"/>
  <c r="C7" i="6"/>
  <c r="I14" i="6"/>
  <c r="D8" i="21"/>
  <c r="B10" i="21"/>
  <c r="D7" i="22"/>
  <c r="I7" i="24"/>
  <c r="C8" i="39"/>
  <c r="C17" i="39"/>
  <c r="L6" i="39"/>
  <c r="X3" i="38"/>
  <c r="X24" i="38"/>
  <c r="I8" i="38"/>
  <c r="N7" i="38"/>
  <c r="M17" i="38"/>
  <c r="N29" i="38"/>
  <c r="M37" i="38"/>
  <c r="N46" i="38"/>
  <c r="C23" i="30"/>
  <c r="C31" i="30"/>
  <c r="B15" i="38"/>
  <c r="B14" i="22"/>
  <c r="B14" i="24"/>
  <c r="B14" i="19"/>
  <c r="B14" i="6"/>
  <c r="B14" i="18"/>
  <c r="B42" i="15"/>
  <c r="B70" i="15"/>
  <c r="B42" i="35"/>
  <c r="B70" i="13"/>
  <c r="B42" i="13"/>
  <c r="B70" i="35"/>
  <c r="B14" i="35"/>
  <c r="B42" i="16"/>
  <c r="B14" i="13"/>
  <c r="P70" i="16"/>
  <c r="B14" i="15"/>
  <c r="P42" i="16"/>
  <c r="P14" i="16"/>
  <c r="B70" i="10"/>
  <c r="B70" i="16"/>
  <c r="B14" i="16"/>
  <c r="B42" i="10"/>
  <c r="B14" i="12"/>
  <c r="B14" i="10"/>
  <c r="B14" i="26"/>
  <c r="B22" i="22"/>
  <c r="B22" i="24"/>
  <c r="B22" i="6"/>
  <c r="B22" i="19"/>
  <c r="B22" i="18"/>
  <c r="B50" i="15"/>
  <c r="B78" i="15"/>
  <c r="B23" i="38"/>
  <c r="B22" i="15"/>
  <c r="B50" i="13"/>
  <c r="B50" i="35"/>
  <c r="B78" i="13"/>
  <c r="B78" i="35"/>
  <c r="B22" i="13"/>
  <c r="B22" i="35"/>
  <c r="P78" i="16"/>
  <c r="P50" i="16"/>
  <c r="B78" i="16"/>
  <c r="B50" i="16"/>
  <c r="B22" i="12"/>
  <c r="B78" i="10"/>
  <c r="B50" i="10"/>
  <c r="B22" i="10"/>
  <c r="P22" i="16"/>
  <c r="B22" i="16"/>
  <c r="B22" i="26"/>
  <c r="B31" i="38"/>
  <c r="B30" i="22"/>
  <c r="B30" i="24"/>
  <c r="B30" i="6"/>
  <c r="B30" i="19"/>
  <c r="B30" i="18"/>
  <c r="B58" i="15"/>
  <c r="B86" i="15"/>
  <c r="B58" i="35"/>
  <c r="B58" i="13"/>
  <c r="B86" i="35"/>
  <c r="B86" i="13"/>
  <c r="B30" i="35"/>
  <c r="B30" i="12"/>
  <c r="P86" i="16"/>
  <c r="P58" i="16"/>
  <c r="B30" i="15"/>
  <c r="B30" i="13"/>
  <c r="B30" i="16"/>
  <c r="B86" i="10"/>
  <c r="B58" i="16"/>
  <c r="B58" i="10"/>
  <c r="B86" i="16"/>
  <c r="B30" i="10"/>
  <c r="P30" i="16"/>
  <c r="B30" i="26"/>
  <c r="L76" i="16"/>
  <c r="L43" i="16"/>
  <c r="P6" i="16"/>
  <c r="B6" i="16"/>
  <c r="L15" i="16"/>
  <c r="C41" i="30"/>
  <c r="H6" i="10"/>
  <c r="Q7" i="16"/>
  <c r="C7" i="16"/>
  <c r="Q3" i="16"/>
  <c r="X5" i="16"/>
  <c r="J5" i="12"/>
  <c r="D5" i="12"/>
  <c r="G5" i="12"/>
  <c r="G5" i="35"/>
  <c r="K43" i="35"/>
  <c r="K71" i="35"/>
  <c r="K15" i="35"/>
  <c r="K48" i="35"/>
  <c r="K76" i="35"/>
  <c r="K20" i="35"/>
  <c r="C7" i="13"/>
  <c r="F7" i="13"/>
  <c r="F6" i="13"/>
  <c r="M73" i="13"/>
  <c r="H7" i="15"/>
  <c r="I6" i="19"/>
  <c r="C9" i="28"/>
  <c r="C18" i="28"/>
  <c r="D7" i="6"/>
  <c r="I15" i="6"/>
  <c r="E8" i="21"/>
  <c r="B12" i="21"/>
  <c r="E7" i="22"/>
  <c r="I6" i="24"/>
  <c r="C9" i="39"/>
  <c r="C18" i="39"/>
  <c r="B29" i="39"/>
  <c r="J5" i="38"/>
  <c r="N8" i="38"/>
  <c r="N18" i="38"/>
  <c r="M30" i="38"/>
  <c r="N38" i="38"/>
  <c r="N47" i="38"/>
  <c r="E1" i="30"/>
  <c r="C17" i="30"/>
  <c r="C24" i="30"/>
  <c r="C32" i="30"/>
  <c r="B16" i="38"/>
  <c r="B15" i="24"/>
  <c r="B15" i="22"/>
  <c r="B15" i="19"/>
  <c r="B15" i="18"/>
  <c r="B43" i="15"/>
  <c r="B15" i="6"/>
  <c r="B71" i="15"/>
  <c r="B43" i="13"/>
  <c r="B71" i="35"/>
  <c r="B15" i="35"/>
  <c r="B71" i="13"/>
  <c r="B15" i="13"/>
  <c r="B15" i="15"/>
  <c r="B43" i="35"/>
  <c r="P71" i="16"/>
  <c r="P43" i="16"/>
  <c r="B15" i="12"/>
  <c r="B15" i="16"/>
  <c r="B43" i="10"/>
  <c r="B43" i="16"/>
  <c r="P15" i="16"/>
  <c r="B15" i="10"/>
  <c r="B15" i="26"/>
  <c r="B71" i="10"/>
  <c r="B71" i="16"/>
  <c r="B24" i="38"/>
  <c r="B23" i="24"/>
  <c r="B23" i="22"/>
  <c r="B23" i="19"/>
  <c r="B23" i="18"/>
  <c r="B51" i="15"/>
  <c r="B79" i="15"/>
  <c r="B23" i="6"/>
  <c r="B51" i="13"/>
  <c r="B23" i="15"/>
  <c r="B79" i="13"/>
  <c r="B23" i="35"/>
  <c r="B23" i="13"/>
  <c r="B51" i="35"/>
  <c r="B79" i="35"/>
  <c r="B79" i="16"/>
  <c r="B51" i="16"/>
  <c r="B23" i="12"/>
  <c r="P79" i="16"/>
  <c r="P23" i="16"/>
  <c r="B51" i="10"/>
  <c r="B23" i="16"/>
  <c r="B23" i="10"/>
  <c r="P51" i="16"/>
  <c r="B79" i="10"/>
  <c r="B23" i="26"/>
  <c r="B32" i="38"/>
  <c r="B31" i="24"/>
  <c r="B31" i="22"/>
  <c r="B31" i="19"/>
  <c r="B31" i="18"/>
  <c r="B59" i="15"/>
  <c r="B87" i="15"/>
  <c r="B31" i="6"/>
  <c r="B59" i="13"/>
  <c r="B87" i="13"/>
  <c r="B31" i="35"/>
  <c r="B31" i="12"/>
  <c r="B31" i="13"/>
  <c r="B31" i="15"/>
  <c r="B59" i="35"/>
  <c r="B87" i="35"/>
  <c r="B87" i="16"/>
  <c r="B59" i="16"/>
  <c r="B59" i="10"/>
  <c r="B31" i="10"/>
  <c r="P31" i="16"/>
  <c r="P87" i="16"/>
  <c r="P59" i="16"/>
  <c r="B31" i="26"/>
  <c r="B87" i="10"/>
  <c r="B31" i="16"/>
  <c r="B9" i="38"/>
  <c r="P25" i="38"/>
  <c r="P4" i="38"/>
  <c r="B8" i="24"/>
  <c r="B8" i="22"/>
  <c r="C8" i="21"/>
  <c r="D7" i="39"/>
  <c r="D8" i="28"/>
  <c r="B8" i="19"/>
  <c r="B8" i="18"/>
  <c r="B8" i="15"/>
  <c r="B8" i="13"/>
  <c r="B8" i="35"/>
  <c r="B8" i="6"/>
  <c r="B8" i="12"/>
  <c r="P8" i="16"/>
  <c r="B8" i="16"/>
  <c r="B8" i="10"/>
  <c r="C42" i="30"/>
  <c r="A37" i="15"/>
  <c r="A37" i="35"/>
  <c r="F3" i="12"/>
  <c r="Y37" i="16"/>
  <c r="A37" i="13"/>
  <c r="A37" i="16"/>
  <c r="A37" i="10"/>
  <c r="B6" i="26"/>
  <c r="H8" i="10"/>
  <c r="D7" i="16"/>
  <c r="R7" i="16"/>
  <c r="L67" i="16"/>
  <c r="M47" i="16"/>
  <c r="M49" i="16"/>
  <c r="Q5" i="16"/>
  <c r="B1" i="12"/>
  <c r="B6" i="12"/>
  <c r="C6" i="35"/>
  <c r="K72" i="35"/>
  <c r="K16" i="35"/>
  <c r="K44" i="35"/>
  <c r="K21" i="35"/>
  <c r="K49" i="35"/>
  <c r="K77" i="35"/>
  <c r="D7" i="13"/>
  <c r="G7" i="13"/>
  <c r="M74" i="13"/>
  <c r="B1" i="18"/>
  <c r="B38" i="19"/>
  <c r="C10" i="28"/>
  <c r="C19" i="28"/>
  <c r="E7" i="6"/>
  <c r="I16" i="6"/>
  <c r="F8" i="21"/>
  <c r="B1" i="22"/>
  <c r="F7" i="22"/>
  <c r="C7" i="24"/>
  <c r="B37" i="24"/>
  <c r="C10" i="39"/>
  <c r="C19" i="39"/>
  <c r="B1" i="38"/>
  <c r="K5" i="38"/>
  <c r="N9" i="38"/>
  <c r="N19" i="38"/>
  <c r="N31" i="38"/>
  <c r="N39" i="38"/>
  <c r="O48" i="38"/>
  <c r="H10" i="15"/>
  <c r="C10" i="19" s="1"/>
  <c r="X34" i="16"/>
  <c r="D34" i="15" s="1"/>
  <c r="E91" i="10"/>
  <c r="R30" i="16"/>
  <c r="X30" i="16" s="1"/>
  <c r="D30" i="15" s="1"/>
  <c r="H30" i="15" s="1"/>
  <c r="C30" i="19" s="1"/>
  <c r="R33" i="16"/>
  <c r="X33" i="16" s="1"/>
  <c r="D33" i="15" s="1"/>
  <c r="H33" i="15" s="1"/>
  <c r="C33" i="19" s="1"/>
  <c r="R19" i="16"/>
  <c r="R32" i="16"/>
  <c r="X32" i="16" s="1"/>
  <c r="D32" i="15" s="1"/>
  <c r="H32" i="15" s="1"/>
  <c r="C32" i="19" s="1"/>
  <c r="R28" i="16"/>
  <c r="R25" i="16"/>
  <c r="R17" i="16"/>
  <c r="R15" i="16"/>
  <c r="X15" i="16" s="1"/>
  <c r="D15" i="15" s="1"/>
  <c r="H15" i="15" s="1"/>
  <c r="C15" i="19" s="1"/>
  <c r="R11" i="16"/>
  <c r="R22" i="16"/>
  <c r="R13" i="16"/>
  <c r="R9" i="16"/>
  <c r="R31" i="16"/>
  <c r="R27" i="16"/>
  <c r="R20" i="16"/>
  <c r="R18" i="16"/>
  <c r="X18" i="16" s="1"/>
  <c r="D18" i="15" s="1"/>
  <c r="H18" i="15" s="1"/>
  <c r="C18" i="19" s="1"/>
  <c r="R16" i="16"/>
  <c r="X16" i="16" s="1"/>
  <c r="D16" i="15" s="1"/>
  <c r="R10" i="16"/>
  <c r="X10" i="16" s="1"/>
  <c r="D10" i="15" s="1"/>
  <c r="R34" i="16"/>
  <c r="R26" i="16"/>
  <c r="X26" i="16" s="1"/>
  <c r="D26" i="15" s="1"/>
  <c r="H26" i="15" s="1"/>
  <c r="C26" i="19" s="1"/>
  <c r="R21" i="16"/>
  <c r="R12" i="16"/>
  <c r="X12" i="16" s="1"/>
  <c r="D12" i="15" s="1"/>
  <c r="H12" i="15" s="1"/>
  <c r="C12" i="19" s="1"/>
  <c r="X14" i="16"/>
  <c r="D14" i="15" s="1"/>
  <c r="X11" i="16"/>
  <c r="D11" i="15" s="1"/>
  <c r="H11" i="15" s="1"/>
  <c r="C11" i="19" s="1"/>
  <c r="X17" i="16"/>
  <c r="D17" i="15" s="1"/>
  <c r="X27" i="16"/>
  <c r="D27" i="15" s="1"/>
  <c r="T91" i="16"/>
  <c r="C9" i="15"/>
  <c r="E35" i="10"/>
  <c r="H34" i="15"/>
  <c r="C34" i="19" s="1"/>
  <c r="R24" i="16"/>
  <c r="R29" i="16"/>
  <c r="H17" i="15"/>
  <c r="C17" i="19" s="1"/>
  <c r="E63" i="10"/>
  <c r="U25" i="16"/>
  <c r="U28" i="16"/>
  <c r="X43" i="16"/>
  <c r="D43" i="15" s="1"/>
  <c r="H43" i="15" s="1"/>
  <c r="D15" i="19" s="1"/>
  <c r="Q58" i="16"/>
  <c r="Q50" i="16"/>
  <c r="X50" i="16" s="1"/>
  <c r="D50" i="15" s="1"/>
  <c r="H50" i="15" s="1"/>
  <c r="D22" i="19" s="1"/>
  <c r="Q41" i="16"/>
  <c r="X41" i="16" s="1"/>
  <c r="D41" i="15" s="1"/>
  <c r="H41" i="15" s="1"/>
  <c r="D13" i="19" s="1"/>
  <c r="Q37" i="16"/>
  <c r="Q55" i="16"/>
  <c r="X55" i="16" s="1"/>
  <c r="D55" i="15" s="1"/>
  <c r="H55" i="15" s="1"/>
  <c r="D27" i="19" s="1"/>
  <c r="Q48" i="16"/>
  <c r="Q60" i="16"/>
  <c r="X60" i="16" s="1"/>
  <c r="D60" i="15" s="1"/>
  <c r="H60" i="15" s="1"/>
  <c r="D32" i="19" s="1"/>
  <c r="Q52" i="16"/>
  <c r="Q62" i="16"/>
  <c r="Q54" i="16"/>
  <c r="Q49" i="16"/>
  <c r="Q59" i="16"/>
  <c r="C63" i="15"/>
  <c r="T14" i="16"/>
  <c r="U19" i="16"/>
  <c r="U35" i="16" s="1"/>
  <c r="S21" i="16"/>
  <c r="W22" i="16"/>
  <c r="W35" i="16" s="1"/>
  <c r="T23" i="16"/>
  <c r="Q24" i="16"/>
  <c r="V25" i="16"/>
  <c r="S26" i="16"/>
  <c r="V28" i="16"/>
  <c r="T29" i="16"/>
  <c r="S30" i="16"/>
  <c r="W32" i="16"/>
  <c r="U33" i="16"/>
  <c r="S34" i="16"/>
  <c r="V46" i="16"/>
  <c r="U48" i="16"/>
  <c r="Q53" i="16"/>
  <c r="X53" i="16" s="1"/>
  <c r="D53" i="15" s="1"/>
  <c r="H53" i="15" s="1"/>
  <c r="D25" i="19" s="1"/>
  <c r="Q56" i="16"/>
  <c r="V70" i="16"/>
  <c r="C91" i="15"/>
  <c r="U12" i="16"/>
  <c r="U21" i="16"/>
  <c r="U26" i="16"/>
  <c r="U30" i="16"/>
  <c r="U34" i="16"/>
  <c r="Q38" i="16"/>
  <c r="X38" i="16" s="1"/>
  <c r="D38" i="15" s="1"/>
  <c r="Q51" i="16"/>
  <c r="V87" i="16"/>
  <c r="V82" i="16"/>
  <c r="V67" i="16"/>
  <c r="V84" i="16"/>
  <c r="V75" i="16"/>
  <c r="V73" i="16"/>
  <c r="V69" i="16"/>
  <c r="V65" i="16"/>
  <c r="V89" i="16"/>
  <c r="V80" i="16"/>
  <c r="V71" i="16"/>
  <c r="V83" i="16"/>
  <c r="V74" i="16"/>
  <c r="V66" i="16"/>
  <c r="V88" i="16"/>
  <c r="V81" i="16"/>
  <c r="V72" i="16"/>
  <c r="V68" i="16"/>
  <c r="H27" i="15"/>
  <c r="C27" i="19" s="1"/>
  <c r="H38" i="15"/>
  <c r="D10" i="19" s="1"/>
  <c r="H42" i="15"/>
  <c r="D14" i="19" s="1"/>
  <c r="U16" i="16"/>
  <c r="U18" i="16"/>
  <c r="Q39" i="16"/>
  <c r="X39" i="16" s="1"/>
  <c r="D39" i="15" s="1"/>
  <c r="H39" i="15" s="1"/>
  <c r="D11" i="19" s="1"/>
  <c r="Q45" i="16"/>
  <c r="S60" i="16"/>
  <c r="S52" i="16"/>
  <c r="S57" i="16"/>
  <c r="X57" i="16" s="1"/>
  <c r="D57" i="15" s="1"/>
  <c r="H57" i="15" s="1"/>
  <c r="D29" i="19" s="1"/>
  <c r="S46" i="16"/>
  <c r="S44" i="16"/>
  <c r="X44" i="16" s="1"/>
  <c r="D44" i="15" s="1"/>
  <c r="H44" i="15" s="1"/>
  <c r="D16" i="19" s="1"/>
  <c r="S38" i="16"/>
  <c r="S63" i="16" s="1"/>
  <c r="S62" i="16"/>
  <c r="S54" i="16"/>
  <c r="S49" i="16"/>
  <c r="S56" i="16"/>
  <c r="S47" i="16"/>
  <c r="X47" i="16" s="1"/>
  <c r="D47" i="15" s="1"/>
  <c r="H47" i="15" s="1"/>
  <c r="D19" i="19" s="1"/>
  <c r="S61" i="16"/>
  <c r="S55" i="16"/>
  <c r="S59" i="16"/>
  <c r="J91" i="16"/>
  <c r="D13" i="22"/>
  <c r="E13" i="24"/>
  <c r="T20" i="16"/>
  <c r="X20" i="16" s="1"/>
  <c r="D20" i="15" s="1"/>
  <c r="H20" i="15" s="1"/>
  <c r="C20" i="19" s="1"/>
  <c r="S22" i="16"/>
  <c r="U24" i="16"/>
  <c r="W26" i="16"/>
  <c r="T27" i="16"/>
  <c r="W30" i="16"/>
  <c r="T31" i="16"/>
  <c r="X31" i="16" s="1"/>
  <c r="D31" i="15" s="1"/>
  <c r="H31" i="15" s="1"/>
  <c r="C31" i="19" s="1"/>
  <c r="Q40" i="16"/>
  <c r="Q46" i="16"/>
  <c r="X46" i="16" s="1"/>
  <c r="D46" i="15" s="1"/>
  <c r="H46" i="15" s="1"/>
  <c r="D18" i="19" s="1"/>
  <c r="U62" i="16"/>
  <c r="U54" i="16"/>
  <c r="U49" i="16"/>
  <c r="U40" i="16"/>
  <c r="U63" i="16" s="1"/>
  <c r="U59" i="16"/>
  <c r="U51" i="16"/>
  <c r="U42" i="16"/>
  <c r="U56" i="16"/>
  <c r="U47" i="16"/>
  <c r="U58" i="16"/>
  <c r="U50" i="16"/>
  <c r="U55" i="16"/>
  <c r="V59" i="16"/>
  <c r="V51" i="16"/>
  <c r="V42" i="16"/>
  <c r="V63" i="16" s="1"/>
  <c r="V56" i="16"/>
  <c r="V47" i="16"/>
  <c r="V61" i="16"/>
  <c r="V53" i="16"/>
  <c r="V55" i="16"/>
  <c r="V48" i="16"/>
  <c r="V60" i="16"/>
  <c r="S51" i="16"/>
  <c r="U52" i="16"/>
  <c r="U53" i="16"/>
  <c r="Q61" i="16"/>
  <c r="J63" i="16"/>
  <c r="H16" i="15"/>
  <c r="C16" i="19" s="1"/>
  <c r="T13" i="16"/>
  <c r="T35" i="16" s="1"/>
  <c r="U20" i="16"/>
  <c r="T22" i="16"/>
  <c r="Q23" i="16"/>
  <c r="X23" i="16" s="1"/>
  <c r="D23" i="15" s="1"/>
  <c r="H23" i="15" s="1"/>
  <c r="C23" i="19" s="1"/>
  <c r="V24" i="16"/>
  <c r="V35" i="16" s="1"/>
  <c r="S25" i="16"/>
  <c r="X25" i="16" s="1"/>
  <c r="D25" i="15" s="1"/>
  <c r="H25" i="15" s="1"/>
  <c r="C25" i="19" s="1"/>
  <c r="U27" i="16"/>
  <c r="S28" i="16"/>
  <c r="X28" i="16" s="1"/>
  <c r="D28" i="15" s="1"/>
  <c r="H28" i="15" s="1"/>
  <c r="C28" i="19" s="1"/>
  <c r="Q29" i="16"/>
  <c r="X29" i="16" s="1"/>
  <c r="D29" i="15" s="1"/>
  <c r="H29" i="15" s="1"/>
  <c r="C29" i="19" s="1"/>
  <c r="U31" i="16"/>
  <c r="S39" i="16"/>
  <c r="Q42" i="16"/>
  <c r="X42" i="16" s="1"/>
  <c r="D42" i="15" s="1"/>
  <c r="S45" i="16"/>
  <c r="S50" i="16"/>
  <c r="V52" i="16"/>
  <c r="S58" i="16"/>
  <c r="V86" i="16"/>
  <c r="D62" i="35"/>
  <c r="H62" i="35" s="1"/>
  <c r="F62" i="15" s="1"/>
  <c r="D60" i="35"/>
  <c r="H60" i="35" s="1"/>
  <c r="F60" i="15" s="1"/>
  <c r="D58" i="35"/>
  <c r="H58" i="35" s="1"/>
  <c r="F58" i="15" s="1"/>
  <c r="D56" i="35"/>
  <c r="H56" i="35" s="1"/>
  <c r="F56" i="15" s="1"/>
  <c r="D54" i="35"/>
  <c r="H54" i="35" s="1"/>
  <c r="F54" i="15" s="1"/>
  <c r="D52" i="35"/>
  <c r="H52" i="35" s="1"/>
  <c r="F52" i="15" s="1"/>
  <c r="D42" i="35"/>
  <c r="H42" i="35" s="1"/>
  <c r="F42" i="15" s="1"/>
  <c r="D37" i="35"/>
  <c r="D47" i="35"/>
  <c r="H47" i="35" s="1"/>
  <c r="F47" i="15" s="1"/>
  <c r="D50" i="35"/>
  <c r="H50" i="35" s="1"/>
  <c r="F50" i="15" s="1"/>
  <c r="D45" i="35"/>
  <c r="H45" i="35" s="1"/>
  <c r="F45" i="15" s="1"/>
  <c r="D40" i="35"/>
  <c r="H40" i="35" s="1"/>
  <c r="F40" i="15" s="1"/>
  <c r="D61" i="35"/>
  <c r="H61" i="35" s="1"/>
  <c r="F61" i="15" s="1"/>
  <c r="D59" i="35"/>
  <c r="H59" i="35" s="1"/>
  <c r="F59" i="15" s="1"/>
  <c r="D57" i="35"/>
  <c r="H57" i="35" s="1"/>
  <c r="F57" i="15" s="1"/>
  <c r="D55" i="35"/>
  <c r="H55" i="35" s="1"/>
  <c r="F55" i="15" s="1"/>
  <c r="D53" i="35"/>
  <c r="H53" i="35" s="1"/>
  <c r="F53" i="15" s="1"/>
  <c r="D51" i="35"/>
  <c r="H51" i="35" s="1"/>
  <c r="F51" i="15" s="1"/>
  <c r="D48" i="35"/>
  <c r="H48" i="35" s="1"/>
  <c r="F48" i="15" s="1"/>
  <c r="D43" i="35"/>
  <c r="H43" i="35" s="1"/>
  <c r="F43" i="15" s="1"/>
  <c r="D38" i="35"/>
  <c r="H38" i="35" s="1"/>
  <c r="F38" i="15" s="1"/>
  <c r="D46" i="35"/>
  <c r="H46" i="35" s="1"/>
  <c r="F46" i="15" s="1"/>
  <c r="D41" i="35"/>
  <c r="H41" i="35" s="1"/>
  <c r="F41" i="15" s="1"/>
  <c r="D49" i="35"/>
  <c r="H49" i="35" s="1"/>
  <c r="F49" i="15" s="1"/>
  <c r="D44" i="35"/>
  <c r="H44" i="35" s="1"/>
  <c r="F44" i="15" s="1"/>
  <c r="D39" i="35"/>
  <c r="H39" i="35" s="1"/>
  <c r="F39" i="15" s="1"/>
  <c r="F65" i="15"/>
  <c r="W57" i="16"/>
  <c r="F63" i="35"/>
  <c r="E35" i="13"/>
  <c r="W52" i="16"/>
  <c r="W60" i="16"/>
  <c r="T61" i="16"/>
  <c r="H35" i="13"/>
  <c r="W50" i="16"/>
  <c r="W58" i="16"/>
  <c r="T59" i="16"/>
  <c r="E63" i="13"/>
  <c r="W39" i="16"/>
  <c r="T40" i="16"/>
  <c r="T63" i="16" s="1"/>
  <c r="W43" i="16"/>
  <c r="W63" i="16" s="1"/>
  <c r="W45" i="16"/>
  <c r="T49" i="16"/>
  <c r="R52" i="16"/>
  <c r="R63" i="16" s="1"/>
  <c r="W53" i="16"/>
  <c r="T54" i="16"/>
  <c r="R60" i="16"/>
  <c r="W61" i="16"/>
  <c r="T62" i="16"/>
  <c r="E35" i="15"/>
  <c r="D35" i="12"/>
  <c r="U40" i="38" s="1"/>
  <c r="W47" i="16"/>
  <c r="E37" i="15"/>
  <c r="E63" i="15" s="1"/>
  <c r="G35" i="12"/>
  <c r="V40" i="38" s="1"/>
  <c r="D27" i="22"/>
  <c r="E27" i="24"/>
  <c r="F35" i="35"/>
  <c r="D20" i="22"/>
  <c r="E20" i="24"/>
  <c r="D15" i="22"/>
  <c r="E15" i="24"/>
  <c r="D29" i="22"/>
  <c r="E29" i="24"/>
  <c r="D28" i="22"/>
  <c r="E28" i="24"/>
  <c r="D14" i="35"/>
  <c r="H14" i="35" s="1"/>
  <c r="F14" i="15" s="1"/>
  <c r="F35" i="15" s="1"/>
  <c r="D24" i="35"/>
  <c r="H24" i="35" s="1"/>
  <c r="F24" i="15" s="1"/>
  <c r="D26" i="35"/>
  <c r="H26" i="35" s="1"/>
  <c r="F26" i="15" s="1"/>
  <c r="D28" i="35"/>
  <c r="H28" i="35" s="1"/>
  <c r="F28" i="15" s="1"/>
  <c r="D30" i="35"/>
  <c r="H30" i="35" s="1"/>
  <c r="F30" i="15" s="1"/>
  <c r="D32" i="35"/>
  <c r="H32" i="35" s="1"/>
  <c r="F32" i="15" s="1"/>
  <c r="D34" i="35"/>
  <c r="H34" i="35" s="1"/>
  <c r="F34" i="15" s="1"/>
  <c r="D78" i="35"/>
  <c r="H78" i="35" s="1"/>
  <c r="F78" i="15" s="1"/>
  <c r="D16" i="22"/>
  <c r="E16" i="24"/>
  <c r="D23" i="22"/>
  <c r="E23" i="24"/>
  <c r="D12" i="22"/>
  <c r="E12" i="24"/>
  <c r="D16" i="35"/>
  <c r="H16" i="35" s="1"/>
  <c r="F16" i="15" s="1"/>
  <c r="D21" i="35"/>
  <c r="H21" i="35" s="1"/>
  <c r="F21" i="15" s="1"/>
  <c r="D72" i="35"/>
  <c r="H72" i="35" s="1"/>
  <c r="F72" i="15" s="1"/>
  <c r="D75" i="35"/>
  <c r="H75" i="35" s="1"/>
  <c r="F75" i="15" s="1"/>
  <c r="G9" i="19"/>
  <c r="F35" i="18"/>
  <c r="I16" i="28" s="1"/>
  <c r="D17" i="22"/>
  <c r="E17" i="24"/>
  <c r="E31" i="24"/>
  <c r="D31" i="22"/>
  <c r="D80" i="35"/>
  <c r="H80" i="35" s="1"/>
  <c r="F80" i="15" s="1"/>
  <c r="D82" i="35"/>
  <c r="H82" i="35" s="1"/>
  <c r="F82" i="15" s="1"/>
  <c r="D84" i="35"/>
  <c r="H84" i="35" s="1"/>
  <c r="F84" i="15" s="1"/>
  <c r="D86" i="35"/>
  <c r="H86" i="35" s="1"/>
  <c r="F86" i="15" s="1"/>
  <c r="D88" i="35"/>
  <c r="H88" i="35" s="1"/>
  <c r="F88" i="15" s="1"/>
  <c r="D90" i="35"/>
  <c r="H90" i="35" s="1"/>
  <c r="F90" i="15" s="1"/>
  <c r="E32" i="24"/>
  <c r="D32" i="22"/>
  <c r="D11" i="22"/>
  <c r="E11" i="24"/>
  <c r="D19" i="22"/>
  <c r="E19" i="24"/>
  <c r="D25" i="22"/>
  <c r="E25" i="24"/>
  <c r="E33" i="24"/>
  <c r="D33" i="22"/>
  <c r="D23" i="35"/>
  <c r="H23" i="35" s="1"/>
  <c r="F23" i="15" s="1"/>
  <c r="D25" i="35"/>
  <c r="H25" i="35" s="1"/>
  <c r="F25" i="15" s="1"/>
  <c r="D27" i="35"/>
  <c r="H27" i="35" s="1"/>
  <c r="F27" i="15" s="1"/>
  <c r="D29" i="35"/>
  <c r="H29" i="35" s="1"/>
  <c r="F29" i="15" s="1"/>
  <c r="D31" i="35"/>
  <c r="H31" i="35" s="1"/>
  <c r="F31" i="15" s="1"/>
  <c r="D24" i="22"/>
  <c r="E24" i="24"/>
  <c r="D14" i="22"/>
  <c r="E14" i="24"/>
  <c r="E18" i="24"/>
  <c r="D18" i="22"/>
  <c r="E22" i="24"/>
  <c r="D22" i="22"/>
  <c r="D30" i="22"/>
  <c r="E30" i="24"/>
  <c r="E34" i="24"/>
  <c r="D34" i="22"/>
  <c r="D26" i="22"/>
  <c r="I14" i="28"/>
  <c r="I17" i="28" s="1"/>
  <c r="D10" i="22"/>
  <c r="R36" i="38"/>
  <c r="X33" i="38"/>
  <c r="R14" i="38"/>
  <c r="L14" i="39"/>
  <c r="U29" i="38"/>
  <c r="V28" i="38"/>
  <c r="X7" i="38"/>
  <c r="K36" i="38"/>
  <c r="K38" i="38" s="1"/>
  <c r="R15" i="38" s="1"/>
  <c r="R12" i="38"/>
  <c r="I36" i="38"/>
  <c r="F74" i="29"/>
  <c r="E91" i="29"/>
  <c r="G101" i="29"/>
  <c r="E103" i="29"/>
  <c r="F106" i="29"/>
  <c r="D108" i="29"/>
  <c r="G109" i="29"/>
  <c r="G113" i="29"/>
  <c r="F118" i="29"/>
  <c r="D120" i="29"/>
  <c r="G121" i="29"/>
  <c r="F134" i="29"/>
  <c r="E139" i="29"/>
  <c r="D160" i="29"/>
  <c r="F182" i="29"/>
  <c r="G185" i="29"/>
  <c r="E187" i="29"/>
  <c r="D196" i="29"/>
  <c r="E207" i="29"/>
  <c r="E219" i="29"/>
  <c r="E223" i="29"/>
  <c r="F226" i="29"/>
  <c r="E243" i="29"/>
  <c r="F262" i="29"/>
  <c r="D13" i="29"/>
  <c r="D73" i="29"/>
  <c r="G74" i="29"/>
  <c r="D77" i="29"/>
  <c r="F91" i="29"/>
  <c r="F103" i="29"/>
  <c r="D105" i="29"/>
  <c r="G106" i="29"/>
  <c r="E108" i="29"/>
  <c r="D117" i="29"/>
  <c r="G118" i="29"/>
  <c r="E120" i="29"/>
  <c r="G134" i="29"/>
  <c r="F139" i="29"/>
  <c r="E160" i="29"/>
  <c r="G182" i="29"/>
  <c r="F187" i="29"/>
  <c r="E196" i="29"/>
  <c r="F207" i="29"/>
  <c r="F219" i="29"/>
  <c r="F223" i="29"/>
  <c r="G226" i="29"/>
  <c r="D233" i="29"/>
  <c r="F243" i="29"/>
  <c r="E13" i="29"/>
  <c r="E73" i="29"/>
  <c r="E77" i="29"/>
  <c r="G91" i="29"/>
  <c r="D102" i="29"/>
  <c r="G103" i="29"/>
  <c r="E105" i="29"/>
  <c r="F108" i="29"/>
  <c r="E117" i="29"/>
  <c r="F120" i="29"/>
  <c r="G139" i="29"/>
  <c r="F160" i="29"/>
  <c r="D186" i="29"/>
  <c r="G187" i="29"/>
  <c r="F196" i="29"/>
  <c r="G207" i="29"/>
  <c r="G219" i="29"/>
  <c r="G223" i="29"/>
  <c r="E233" i="29"/>
  <c r="G243" i="29"/>
  <c r="F13" i="29"/>
  <c r="F73" i="29"/>
  <c r="D75" i="29"/>
  <c r="F77" i="29"/>
  <c r="E102" i="29"/>
  <c r="F105" i="29"/>
  <c r="D107" i="29"/>
  <c r="G108" i="29"/>
  <c r="F117" i="29"/>
  <c r="D119" i="29"/>
  <c r="G120" i="29"/>
  <c r="G160" i="29"/>
  <c r="D175" i="29"/>
  <c r="E186" i="29"/>
  <c r="G196" i="29"/>
  <c r="F233" i="29"/>
  <c r="G13" i="29"/>
  <c r="G73" i="29"/>
  <c r="E75" i="29"/>
  <c r="G77" i="29"/>
  <c r="D84" i="29"/>
  <c r="F102" i="29"/>
  <c r="D104" i="29"/>
  <c r="G105" i="29"/>
  <c r="E107" i="29"/>
  <c r="D116" i="29"/>
  <c r="G117" i="29"/>
  <c r="E119" i="29"/>
  <c r="E175" i="29"/>
  <c r="F186" i="29"/>
  <c r="D188" i="29"/>
  <c r="G233" i="29"/>
  <c r="F75" i="29"/>
  <c r="E84" i="29"/>
  <c r="D101" i="29"/>
  <c r="G102" i="29"/>
  <c r="E104" i="29"/>
  <c r="F107" i="29"/>
  <c r="D109" i="29"/>
  <c r="D113" i="29"/>
  <c r="E116" i="29"/>
  <c r="F119" i="29"/>
  <c r="D121" i="29"/>
  <c r="F175" i="29"/>
  <c r="D185" i="29"/>
  <c r="G186" i="29"/>
  <c r="B109" i="29"/>
  <c r="B77" i="29"/>
  <c r="B233" i="29"/>
  <c r="B116" i="29"/>
  <c r="B160" i="29"/>
  <c r="B73" i="29"/>
  <c r="B188" i="29"/>
  <c r="B175" i="29"/>
  <c r="B13" i="29"/>
  <c r="B75" i="29"/>
  <c r="B186" i="29"/>
  <c r="B101" i="29"/>
  <c r="B102" i="29"/>
  <c r="B119" i="29"/>
  <c r="B105" i="29"/>
  <c r="B107" i="29"/>
  <c r="B121" i="29"/>
  <c r="B108" i="29"/>
  <c r="B196" i="29"/>
  <c r="B84" i="29"/>
  <c r="B104" i="29"/>
  <c r="B185" i="29"/>
  <c r="B113" i="29"/>
  <c r="B117" i="29"/>
  <c r="B120" i="29"/>
  <c r="L10" i="16" l="1"/>
  <c r="M21" i="16"/>
  <c r="M19" i="16"/>
  <c r="M48" i="16"/>
  <c r="B1" i="13"/>
  <c r="L41" i="16"/>
  <c r="M81" i="16"/>
  <c r="A65" i="13"/>
  <c r="A65" i="15"/>
  <c r="A65" i="16"/>
  <c r="A65" i="35"/>
  <c r="Y65" i="16"/>
  <c r="A65" i="10"/>
  <c r="I3" i="12"/>
  <c r="B1" i="24"/>
  <c r="L39" i="16"/>
  <c r="C7" i="19"/>
  <c r="L38" i="16"/>
  <c r="L69" i="16"/>
  <c r="E7" i="19"/>
  <c r="L11" i="16"/>
  <c r="L13" i="16"/>
  <c r="B3" i="26"/>
  <c r="M20" i="16"/>
  <c r="A9" i="15"/>
  <c r="A9" i="13"/>
  <c r="A9" i="35"/>
  <c r="C3" i="12"/>
  <c r="A9" i="10"/>
  <c r="Y9" i="16"/>
  <c r="A9" i="16"/>
  <c r="B1" i="28"/>
  <c r="M82" i="16"/>
  <c r="M80" i="16"/>
  <c r="L74" i="16"/>
  <c r="B1" i="19"/>
  <c r="B1" i="10"/>
  <c r="B1" i="15"/>
  <c r="B14" i="30"/>
  <c r="H35" i="35"/>
  <c r="R35" i="16"/>
  <c r="X9" i="16"/>
  <c r="R42" i="38"/>
  <c r="X36" i="38"/>
  <c r="X40" i="16"/>
  <c r="D40" i="15" s="1"/>
  <c r="H40" i="15" s="1"/>
  <c r="D12" i="19" s="1"/>
  <c r="J18" i="39"/>
  <c r="V38" i="38"/>
  <c r="U38" i="38"/>
  <c r="I18" i="39"/>
  <c r="X13" i="16"/>
  <c r="D13" i="15" s="1"/>
  <c r="H13" i="15" s="1"/>
  <c r="C13" i="19" s="1"/>
  <c r="X19" i="16"/>
  <c r="D19" i="15" s="1"/>
  <c r="H19" i="15" s="1"/>
  <c r="C19" i="19" s="1"/>
  <c r="R29" i="38"/>
  <c r="X12" i="38"/>
  <c r="X52" i="16"/>
  <c r="D52" i="15" s="1"/>
  <c r="H52" i="15" s="1"/>
  <c r="D24" i="19" s="1"/>
  <c r="H91" i="35"/>
  <c r="O75" i="13" s="1"/>
  <c r="O76" i="13" s="1"/>
  <c r="X48" i="16"/>
  <c r="D48" i="15" s="1"/>
  <c r="H48" i="15" s="1"/>
  <c r="D20" i="19" s="1"/>
  <c r="C35" i="15"/>
  <c r="X22" i="16"/>
  <c r="D22" i="15" s="1"/>
  <c r="H22" i="15" s="1"/>
  <c r="C22" i="19" s="1"/>
  <c r="K14" i="6"/>
  <c r="X24" i="16"/>
  <c r="D24" i="15" s="1"/>
  <c r="H24" i="15" s="1"/>
  <c r="C24" i="19" s="1"/>
  <c r="X59" i="16"/>
  <c r="D59" i="15" s="1"/>
  <c r="H59" i="15" s="1"/>
  <c r="D31" i="19" s="1"/>
  <c r="X37" i="16"/>
  <c r="Q63" i="16"/>
  <c r="V29" i="38"/>
  <c r="D9" i="22"/>
  <c r="D35" i="22" s="1"/>
  <c r="G35" i="19"/>
  <c r="E9" i="24"/>
  <c r="E35" i="24" s="1"/>
  <c r="D35" i="35"/>
  <c r="V91" i="16"/>
  <c r="X51" i="16"/>
  <c r="D51" i="15" s="1"/>
  <c r="H51" i="15" s="1"/>
  <c r="D23" i="19" s="1"/>
  <c r="X49" i="16"/>
  <c r="D49" i="15" s="1"/>
  <c r="H49" i="15" s="1"/>
  <c r="D21" i="19" s="1"/>
  <c r="Q35" i="16"/>
  <c r="F91" i="15"/>
  <c r="X45" i="16"/>
  <c r="D45" i="15" s="1"/>
  <c r="H45" i="15" s="1"/>
  <c r="D17" i="19" s="1"/>
  <c r="H14" i="15"/>
  <c r="C14" i="19" s="1"/>
  <c r="S16" i="38"/>
  <c r="S20" i="38" s="1"/>
  <c r="D63" i="35"/>
  <c r="H37" i="35"/>
  <c r="X61" i="16"/>
  <c r="D61" i="15" s="1"/>
  <c r="H61" i="15" s="1"/>
  <c r="D33" i="19" s="1"/>
  <c r="X54" i="16"/>
  <c r="D54" i="15" s="1"/>
  <c r="H54" i="15" s="1"/>
  <c r="D26" i="19" s="1"/>
  <c r="W38" i="38"/>
  <c r="K18" i="39"/>
  <c r="N72" i="16"/>
  <c r="N74" i="16" s="1"/>
  <c r="D91" i="35"/>
  <c r="X56" i="16"/>
  <c r="D56" i="15" s="1"/>
  <c r="H56" i="15" s="1"/>
  <c r="D28" i="19" s="1"/>
  <c r="S35" i="16"/>
  <c r="X62" i="16"/>
  <c r="D62" i="15" s="1"/>
  <c r="H62" i="15" s="1"/>
  <c r="D34" i="19" s="1"/>
  <c r="X58" i="16"/>
  <c r="D58" i="15" s="1"/>
  <c r="H58" i="15" s="1"/>
  <c r="D30" i="19" s="1"/>
  <c r="X21" i="16"/>
  <c r="D21" i="15" s="1"/>
  <c r="H21" i="15" s="1"/>
  <c r="C21" i="19" s="1"/>
  <c r="L73" i="35" l="1"/>
  <c r="W28" i="38"/>
  <c r="N78" i="16"/>
  <c r="N81" i="16"/>
  <c r="N77" i="16"/>
  <c r="N79" i="16"/>
  <c r="N83" i="16"/>
  <c r="H70" i="13"/>
  <c r="H71" i="13"/>
  <c r="H65" i="13"/>
  <c r="H74" i="13"/>
  <c r="H90" i="13"/>
  <c r="H88" i="13"/>
  <c r="H86" i="13"/>
  <c r="H84" i="13"/>
  <c r="H82" i="13"/>
  <c r="H80" i="13"/>
  <c r="H78" i="13"/>
  <c r="H72" i="13"/>
  <c r="H68" i="13"/>
  <c r="H75" i="13"/>
  <c r="H76" i="13"/>
  <c r="H66" i="13"/>
  <c r="H85" i="13"/>
  <c r="H77" i="13"/>
  <c r="H83" i="13"/>
  <c r="H69" i="13"/>
  <c r="H87" i="13"/>
  <c r="H79" i="13"/>
  <c r="H73" i="13"/>
  <c r="H67" i="13"/>
  <c r="H89" i="13"/>
  <c r="H81" i="13"/>
  <c r="X38" i="38"/>
  <c r="H63" i="35"/>
  <c r="F37" i="15"/>
  <c r="F63" i="15" s="1"/>
  <c r="D37" i="15"/>
  <c r="X63" i="16"/>
  <c r="D9" i="15"/>
  <c r="X35" i="16"/>
  <c r="D63" i="15" l="1"/>
  <c r="H37" i="15"/>
  <c r="W29" i="38"/>
  <c r="X28" i="38"/>
  <c r="X29" i="38" s="1"/>
  <c r="V39" i="38"/>
  <c r="V41" i="38" s="1"/>
  <c r="V42" i="38" s="1"/>
  <c r="J19" i="39"/>
  <c r="J20" i="39" s="1"/>
  <c r="S88" i="16"/>
  <c r="S81" i="16"/>
  <c r="S72" i="16"/>
  <c r="S68" i="16"/>
  <c r="S85" i="16"/>
  <c r="S70" i="16"/>
  <c r="S90" i="16"/>
  <c r="S79" i="16"/>
  <c r="S77" i="16"/>
  <c r="S84" i="16"/>
  <c r="S75" i="16"/>
  <c r="S73" i="16"/>
  <c r="S69" i="16"/>
  <c r="S65" i="16"/>
  <c r="S89" i="16"/>
  <c r="S80" i="16"/>
  <c r="S71" i="16"/>
  <c r="S74" i="16"/>
  <c r="S67" i="16"/>
  <c r="S82" i="16"/>
  <c r="S78" i="16"/>
  <c r="S86" i="16"/>
  <c r="S83" i="16"/>
  <c r="S87" i="16"/>
  <c r="S66" i="16"/>
  <c r="S76" i="16"/>
  <c r="D35" i="15"/>
  <c r="H9" i="15"/>
  <c r="Q86" i="16"/>
  <c r="Q78" i="16"/>
  <c r="Q76" i="16"/>
  <c r="Q83" i="16"/>
  <c r="Q74" i="16"/>
  <c r="Q66" i="16"/>
  <c r="X66" i="16" s="1"/>
  <c r="D66" i="15" s="1"/>
  <c r="Q88" i="16"/>
  <c r="Q81" i="16"/>
  <c r="Q72" i="16"/>
  <c r="Q68" i="16"/>
  <c r="X68" i="16" s="1"/>
  <c r="D68" i="15" s="1"/>
  <c r="Q90" i="16"/>
  <c r="Q79" i="16"/>
  <c r="Q77" i="16"/>
  <c r="Q87" i="16"/>
  <c r="X87" i="16" s="1"/>
  <c r="D87" i="15" s="1"/>
  <c r="Q82" i="16"/>
  <c r="Q67" i="16"/>
  <c r="Q70" i="16"/>
  <c r="Q85" i="16"/>
  <c r="Q71" i="16"/>
  <c r="Q89" i="16"/>
  <c r="Q75" i="16"/>
  <c r="Q69" i="16"/>
  <c r="Q84" i="16"/>
  <c r="Q80" i="16"/>
  <c r="Q73" i="16"/>
  <c r="Q65" i="16"/>
  <c r="W84" i="16"/>
  <c r="W75" i="16"/>
  <c r="W73" i="16"/>
  <c r="W69" i="16"/>
  <c r="W65" i="16"/>
  <c r="W89" i="16"/>
  <c r="W80" i="16"/>
  <c r="W71" i="16"/>
  <c r="W86" i="16"/>
  <c r="W78" i="16"/>
  <c r="W76" i="16"/>
  <c r="W88" i="16"/>
  <c r="W81" i="16"/>
  <c r="W72" i="16"/>
  <c r="W68" i="16"/>
  <c r="W85" i="16"/>
  <c r="W70" i="16"/>
  <c r="W83" i="16"/>
  <c r="W79" i="16"/>
  <c r="W90" i="16"/>
  <c r="W87" i="16"/>
  <c r="W74" i="16"/>
  <c r="W67" i="16"/>
  <c r="W82" i="16"/>
  <c r="W77" i="16"/>
  <c r="W66" i="16"/>
  <c r="I19" i="39"/>
  <c r="I20" i="39" s="1"/>
  <c r="U39" i="38"/>
  <c r="U90" i="16"/>
  <c r="U79" i="16"/>
  <c r="U77" i="16"/>
  <c r="U87" i="16"/>
  <c r="U82" i="16"/>
  <c r="U67" i="16"/>
  <c r="U84" i="16"/>
  <c r="U75" i="16"/>
  <c r="U73" i="16"/>
  <c r="U69" i="16"/>
  <c r="U65" i="16"/>
  <c r="U86" i="16"/>
  <c r="U78" i="16"/>
  <c r="U76" i="16"/>
  <c r="U83" i="16"/>
  <c r="U74" i="16"/>
  <c r="U66" i="16"/>
  <c r="U89" i="16"/>
  <c r="U68" i="16"/>
  <c r="U72" i="16"/>
  <c r="U80" i="16"/>
  <c r="U88" i="16"/>
  <c r="U81" i="16"/>
  <c r="U70" i="16"/>
  <c r="U71" i="16"/>
  <c r="U85" i="16"/>
  <c r="H91" i="13"/>
  <c r="R83" i="16"/>
  <c r="R74" i="16"/>
  <c r="R66" i="16"/>
  <c r="R88" i="16"/>
  <c r="R81" i="16"/>
  <c r="R72" i="16"/>
  <c r="R68" i="16"/>
  <c r="R85" i="16"/>
  <c r="R70" i="16"/>
  <c r="R87" i="16"/>
  <c r="R82" i="16"/>
  <c r="R67" i="16"/>
  <c r="R84" i="16"/>
  <c r="R75" i="16"/>
  <c r="R73" i="16"/>
  <c r="R69" i="16"/>
  <c r="R65" i="16"/>
  <c r="R71" i="16"/>
  <c r="R89" i="16"/>
  <c r="R78" i="16"/>
  <c r="R86" i="16"/>
  <c r="R90" i="16"/>
  <c r="R80" i="16"/>
  <c r="R76" i="16"/>
  <c r="R77" i="16"/>
  <c r="R79" i="16"/>
  <c r="X75" i="16" l="1"/>
  <c r="D75" i="15" s="1"/>
  <c r="X77" i="16"/>
  <c r="D77" i="15" s="1"/>
  <c r="X74" i="16"/>
  <c r="D74" i="15" s="1"/>
  <c r="X89" i="16"/>
  <c r="D89" i="15" s="1"/>
  <c r="X79" i="16"/>
  <c r="D79" i="15" s="1"/>
  <c r="X83" i="16"/>
  <c r="D83" i="15" s="1"/>
  <c r="X69" i="16"/>
  <c r="D69" i="15" s="1"/>
  <c r="X71" i="16"/>
  <c r="D71" i="15" s="1"/>
  <c r="X78" i="16"/>
  <c r="D78" i="15" s="1"/>
  <c r="S91" i="16"/>
  <c r="X85" i="16"/>
  <c r="D85" i="15" s="1"/>
  <c r="U91" i="16"/>
  <c r="X73" i="16"/>
  <c r="D73" i="15" s="1"/>
  <c r="X70" i="16"/>
  <c r="D70" i="15" s="1"/>
  <c r="X72" i="16"/>
  <c r="D72" i="15" s="1"/>
  <c r="X86" i="16"/>
  <c r="D86" i="15" s="1"/>
  <c r="U41" i="38"/>
  <c r="X76" i="16"/>
  <c r="D76" i="15" s="1"/>
  <c r="R91" i="16"/>
  <c r="Q91" i="16"/>
  <c r="X65" i="16"/>
  <c r="X80" i="16"/>
  <c r="D80" i="15" s="1"/>
  <c r="X67" i="16"/>
  <c r="D67" i="15" s="1"/>
  <c r="X81" i="16"/>
  <c r="D81" i="15" s="1"/>
  <c r="C9" i="19"/>
  <c r="H35" i="15"/>
  <c r="D9" i="19"/>
  <c r="H63" i="15"/>
  <c r="X90" i="16"/>
  <c r="D90" i="15" s="1"/>
  <c r="W91" i="16"/>
  <c r="X84" i="16"/>
  <c r="D84" i="15" s="1"/>
  <c r="X82" i="16"/>
  <c r="D82" i="15" s="1"/>
  <c r="X88" i="16"/>
  <c r="D88" i="15" s="1"/>
  <c r="C38" i="19" l="1" a="1"/>
  <c r="C38" i="19" s="1"/>
  <c r="C35" i="19"/>
  <c r="U42" i="38"/>
  <c r="D65" i="15"/>
  <c r="X91" i="16"/>
  <c r="D38" i="19" a="1"/>
  <c r="D38" i="19" s="1"/>
  <c r="D35" i="19"/>
  <c r="W39" i="38" l="1"/>
  <c r="K19" i="39"/>
  <c r="K20" i="39" s="1"/>
  <c r="L20" i="39" s="1"/>
  <c r="L23" i="39" s="1"/>
  <c r="L26" i="39" s="1"/>
  <c r="J6" i="12" s="1"/>
  <c r="O70" i="13"/>
  <c r="O71" i="13" s="1"/>
  <c r="D91" i="15"/>
  <c r="E89" i="13" l="1"/>
  <c r="I89" i="13" s="1"/>
  <c r="G89" i="15" s="1"/>
  <c r="E87" i="13"/>
  <c r="I87" i="13" s="1"/>
  <c r="G87" i="15" s="1"/>
  <c r="E85" i="13"/>
  <c r="I85" i="13" s="1"/>
  <c r="G85" i="15" s="1"/>
  <c r="E83" i="13"/>
  <c r="I83" i="13" s="1"/>
  <c r="G83" i="15" s="1"/>
  <c r="E81" i="13"/>
  <c r="I81" i="13" s="1"/>
  <c r="G81" i="15" s="1"/>
  <c r="E79" i="13"/>
  <c r="I79" i="13" s="1"/>
  <c r="G79" i="15" s="1"/>
  <c r="E77" i="13"/>
  <c r="I77" i="13" s="1"/>
  <c r="G77" i="15" s="1"/>
  <c r="E73" i="13"/>
  <c r="I73" i="13" s="1"/>
  <c r="G73" i="15" s="1"/>
  <c r="E67" i="13"/>
  <c r="I67" i="13" s="1"/>
  <c r="G67" i="15" s="1"/>
  <c r="E70" i="13"/>
  <c r="I70" i="13" s="1"/>
  <c r="G70" i="15" s="1"/>
  <c r="E71" i="13"/>
  <c r="I71" i="13" s="1"/>
  <c r="G71" i="15" s="1"/>
  <c r="E65" i="13"/>
  <c r="E74" i="13"/>
  <c r="I74" i="13" s="1"/>
  <c r="G74" i="15" s="1"/>
  <c r="E90" i="13"/>
  <c r="I90" i="13" s="1"/>
  <c r="G90" i="15" s="1"/>
  <c r="E88" i="13"/>
  <c r="I88" i="13" s="1"/>
  <c r="G88" i="15" s="1"/>
  <c r="E86" i="13"/>
  <c r="I86" i="13" s="1"/>
  <c r="G86" i="15" s="1"/>
  <c r="E84" i="13"/>
  <c r="I84" i="13" s="1"/>
  <c r="G84" i="15" s="1"/>
  <c r="E82" i="13"/>
  <c r="I82" i="13" s="1"/>
  <c r="G82" i="15" s="1"/>
  <c r="E80" i="13"/>
  <c r="I80" i="13" s="1"/>
  <c r="G80" i="15" s="1"/>
  <c r="E78" i="13"/>
  <c r="I78" i="13" s="1"/>
  <c r="G78" i="15" s="1"/>
  <c r="E72" i="13"/>
  <c r="I72" i="13" s="1"/>
  <c r="G72" i="15" s="1"/>
  <c r="E68" i="13"/>
  <c r="I68" i="13" s="1"/>
  <c r="G68" i="15" s="1"/>
  <c r="E75" i="13"/>
  <c r="I75" i="13" s="1"/>
  <c r="G75" i="15" s="1"/>
  <c r="E76" i="13"/>
  <c r="I76" i="13" s="1"/>
  <c r="G76" i="15" s="1"/>
  <c r="E69" i="13"/>
  <c r="I69" i="13" s="1"/>
  <c r="G69" i="15" s="1"/>
  <c r="E66" i="13"/>
  <c r="I66" i="13" s="1"/>
  <c r="G66" i="15" s="1"/>
  <c r="J34" i="12"/>
  <c r="E90" i="15" s="1"/>
  <c r="H90" i="15" s="1"/>
  <c r="E34" i="19" s="1"/>
  <c r="F34" i="19" s="1"/>
  <c r="J32" i="12"/>
  <c r="E88" i="15" s="1"/>
  <c r="J25" i="12"/>
  <c r="E81" i="15" s="1"/>
  <c r="H81" i="15" s="1"/>
  <c r="E25" i="19" s="1"/>
  <c r="F25" i="19" s="1"/>
  <c r="J27" i="12"/>
  <c r="E83" i="15" s="1"/>
  <c r="H83" i="15" s="1"/>
  <c r="E27" i="19" s="1"/>
  <c r="F27" i="19" s="1"/>
  <c r="J29" i="12"/>
  <c r="E85" i="15" s="1"/>
  <c r="H85" i="15" s="1"/>
  <c r="E29" i="19" s="1"/>
  <c r="F29" i="19" s="1"/>
  <c r="J26" i="12"/>
  <c r="E82" i="15" s="1"/>
  <c r="H82" i="15" s="1"/>
  <c r="E26" i="19" s="1"/>
  <c r="F26" i="19" s="1"/>
  <c r="J33" i="12"/>
  <c r="E89" i="15" s="1"/>
  <c r="H89" i="15" s="1"/>
  <c r="E33" i="19" s="1"/>
  <c r="F33" i="19" s="1"/>
  <c r="J28" i="12"/>
  <c r="E84" i="15" s="1"/>
  <c r="H84" i="15" s="1"/>
  <c r="E28" i="19" s="1"/>
  <c r="F28" i="19" s="1"/>
  <c r="J17" i="12"/>
  <c r="E73" i="15" s="1"/>
  <c r="J10" i="12"/>
  <c r="E66" i="15" s="1"/>
  <c r="H66" i="15" s="1"/>
  <c r="E10" i="19" s="1"/>
  <c r="F10" i="19" s="1"/>
  <c r="J30" i="12"/>
  <c r="E86" i="15" s="1"/>
  <c r="J19" i="12"/>
  <c r="E75" i="15" s="1"/>
  <c r="J12" i="12"/>
  <c r="E68" i="15" s="1"/>
  <c r="H68" i="15" s="1"/>
  <c r="E12" i="19" s="1"/>
  <c r="F12" i="19" s="1"/>
  <c r="J21" i="12"/>
  <c r="E77" i="15" s="1"/>
  <c r="H77" i="15" s="1"/>
  <c r="E21" i="19" s="1"/>
  <c r="F21" i="19" s="1"/>
  <c r="J14" i="12"/>
  <c r="E70" i="15" s="1"/>
  <c r="H70" i="15" s="1"/>
  <c r="E14" i="19" s="1"/>
  <c r="F14" i="19" s="1"/>
  <c r="J23" i="12"/>
  <c r="E79" i="15" s="1"/>
  <c r="H79" i="15" s="1"/>
  <c r="E23" i="19" s="1"/>
  <c r="F23" i="19" s="1"/>
  <c r="J16" i="12"/>
  <c r="E72" i="15" s="1"/>
  <c r="J20" i="12"/>
  <c r="E76" i="15" s="1"/>
  <c r="J11" i="12"/>
  <c r="E67" i="15" s="1"/>
  <c r="H67" i="15" s="1"/>
  <c r="E11" i="19" s="1"/>
  <c r="F11" i="19" s="1"/>
  <c r="J31" i="12"/>
  <c r="E87" i="15" s="1"/>
  <c r="H87" i="15" s="1"/>
  <c r="E31" i="19" s="1"/>
  <c r="F31" i="19" s="1"/>
  <c r="J22" i="12"/>
  <c r="E78" i="15" s="1"/>
  <c r="H78" i="15" s="1"/>
  <c r="E22" i="19" s="1"/>
  <c r="F22" i="19" s="1"/>
  <c r="J13" i="12"/>
  <c r="E69" i="15" s="1"/>
  <c r="H69" i="15" s="1"/>
  <c r="E13" i="19" s="1"/>
  <c r="F13" i="19" s="1"/>
  <c r="J24" i="12"/>
  <c r="E80" i="15" s="1"/>
  <c r="H80" i="15" s="1"/>
  <c r="E24" i="19" s="1"/>
  <c r="F24" i="19" s="1"/>
  <c r="J9" i="12"/>
  <c r="J18" i="12"/>
  <c r="E74" i="15" s="1"/>
  <c r="J15" i="12"/>
  <c r="E71" i="15" s="1"/>
  <c r="H71" i="15" s="1"/>
  <c r="E15" i="19" s="1"/>
  <c r="F15" i="19" s="1"/>
  <c r="X39" i="38"/>
  <c r="H12" i="19" l="1"/>
  <c r="H31" i="19"/>
  <c r="H75" i="15"/>
  <c r="E19" i="19" s="1"/>
  <c r="F19" i="19" s="1"/>
  <c r="H27" i="19"/>
  <c r="H22" i="19"/>
  <c r="H10" i="19"/>
  <c r="H88" i="15"/>
  <c r="E32" i="19" s="1"/>
  <c r="F32" i="19" s="1"/>
  <c r="I65" i="13"/>
  <c r="E91" i="13"/>
  <c r="H13" i="19"/>
  <c r="H86" i="15"/>
  <c r="E30" i="19" s="1"/>
  <c r="F30" i="19" s="1"/>
  <c r="H15" i="19"/>
  <c r="H76" i="15"/>
  <c r="E20" i="19" s="1"/>
  <c r="F20" i="19" s="1"/>
  <c r="H74" i="15"/>
  <c r="E18" i="19" s="1"/>
  <c r="F18" i="19" s="1"/>
  <c r="H72" i="15"/>
  <c r="E16" i="19" s="1"/>
  <c r="F16" i="19" s="1"/>
  <c r="H73" i="15"/>
  <c r="E17" i="19" s="1"/>
  <c r="F17" i="19" s="1"/>
  <c r="H34" i="19"/>
  <c r="H26" i="19"/>
  <c r="H11" i="19"/>
  <c r="H23" i="19"/>
  <c r="H28" i="19"/>
  <c r="H21" i="19"/>
  <c r="H29" i="19"/>
  <c r="H25" i="19"/>
  <c r="E65" i="15"/>
  <c r="J35" i="12"/>
  <c r="W40" i="38" s="1"/>
  <c r="H24" i="19"/>
  <c r="H14" i="19"/>
  <c r="H33" i="19"/>
  <c r="H16" i="19" l="1"/>
  <c r="H18" i="19"/>
  <c r="G65" i="15"/>
  <c r="I91" i="13"/>
  <c r="H19" i="19"/>
  <c r="H20" i="19"/>
  <c r="H32" i="19"/>
  <c r="E91" i="15"/>
  <c r="H17" i="19"/>
  <c r="X40" i="38"/>
  <c r="W41" i="38"/>
  <c r="H30" i="19"/>
  <c r="H65" i="15" l="1"/>
  <c r="W42" i="38"/>
  <c r="X41" i="38"/>
  <c r="X42" i="38" s="1"/>
  <c r="S44" i="38" s="1"/>
  <c r="S48" i="38" s="1"/>
  <c r="L72" i="35" s="1"/>
  <c r="H91" i="15" l="1"/>
  <c r="E9" i="19"/>
  <c r="E35" i="19" l="1"/>
  <c r="E38" i="19" a="1"/>
  <c r="E38" i="19" s="1"/>
  <c r="F9" i="19"/>
  <c r="H9" i="19" l="1"/>
  <c r="F35" i="19"/>
  <c r="H35" i="19" s="1"/>
  <c r="C35" i="22" l="1"/>
  <c r="I18" i="28"/>
  <c r="I19" i="28" s="1"/>
  <c r="I33" i="19"/>
  <c r="I25" i="19"/>
  <c r="I28" i="19"/>
  <c r="I13" i="19"/>
  <c r="I26" i="19"/>
  <c r="I23" i="19"/>
  <c r="I14" i="19"/>
  <c r="I24" i="19"/>
  <c r="I21" i="19"/>
  <c r="I15" i="19"/>
  <c r="I29" i="19"/>
  <c r="I11" i="19"/>
  <c r="I27" i="19"/>
  <c r="I34" i="19"/>
  <c r="I10" i="19"/>
  <c r="I12" i="19"/>
  <c r="I31" i="19"/>
  <c r="I22" i="19"/>
  <c r="I18" i="19"/>
  <c r="I17" i="19"/>
  <c r="I30" i="19"/>
  <c r="I20" i="19"/>
  <c r="I16" i="19"/>
  <c r="I32" i="19"/>
  <c r="I19" i="19"/>
  <c r="I9" i="19"/>
  <c r="C27" i="24" l="1"/>
  <c r="C27" i="22"/>
  <c r="E27" i="22" s="1"/>
  <c r="C27" i="6"/>
  <c r="C27" i="26"/>
  <c r="C34" i="24"/>
  <c r="C34" i="6"/>
  <c r="C34" i="22"/>
  <c r="E34" i="22" s="1"/>
  <c r="C34" i="26"/>
  <c r="C30" i="24"/>
  <c r="C30" i="6"/>
  <c r="C30" i="22"/>
  <c r="E30" i="22" s="1"/>
  <c r="C30" i="26"/>
  <c r="C26" i="24"/>
  <c r="C26" i="6"/>
  <c r="C26" i="22"/>
  <c r="E26" i="22" s="1"/>
  <c r="C26" i="26"/>
  <c r="C17" i="24"/>
  <c r="C17" i="6"/>
  <c r="C17" i="22"/>
  <c r="E17" i="22" s="1"/>
  <c r="C17" i="26"/>
  <c r="C13" i="24"/>
  <c r="C13" i="22"/>
  <c r="E13" i="22" s="1"/>
  <c r="C13" i="6"/>
  <c r="C13" i="26"/>
  <c r="C29" i="24"/>
  <c r="C29" i="6"/>
  <c r="C29" i="22"/>
  <c r="E29" i="22" s="1"/>
  <c r="C29" i="26"/>
  <c r="C9" i="24"/>
  <c r="C9" i="22"/>
  <c r="E9" i="22" s="1"/>
  <c r="I38" i="19"/>
  <c r="C9" i="6"/>
  <c r="C9" i="26"/>
  <c r="C25" i="24"/>
  <c r="C25" i="6"/>
  <c r="C25" i="22"/>
  <c r="E25" i="22" s="1"/>
  <c r="C25" i="26"/>
  <c r="C20" i="24"/>
  <c r="C20" i="22"/>
  <c r="E20" i="22" s="1"/>
  <c r="C20" i="6"/>
  <c r="C20" i="26"/>
  <c r="C23" i="24"/>
  <c r="C23" i="22"/>
  <c r="E23" i="22" s="1"/>
  <c r="C23" i="6"/>
  <c r="C23" i="26"/>
  <c r="C11" i="24"/>
  <c r="C11" i="22"/>
  <c r="E11" i="22" s="1"/>
  <c r="C11" i="6"/>
  <c r="C11" i="26"/>
  <c r="C18" i="24"/>
  <c r="C18" i="6"/>
  <c r="C18" i="22"/>
  <c r="E18" i="22" s="1"/>
  <c r="C18" i="26"/>
  <c r="C28" i="24"/>
  <c r="C28" i="22"/>
  <c r="E28" i="22" s="1"/>
  <c r="C28" i="6"/>
  <c r="C28" i="26"/>
  <c r="C22" i="24"/>
  <c r="C22" i="6"/>
  <c r="C22" i="22"/>
  <c r="E22" i="22" s="1"/>
  <c r="C22" i="26"/>
  <c r="C15" i="24"/>
  <c r="C15" i="22"/>
  <c r="E15" i="22" s="1"/>
  <c r="C15" i="6"/>
  <c r="C15" i="26"/>
  <c r="C19" i="24"/>
  <c r="C19" i="22"/>
  <c r="E19" i="22" s="1"/>
  <c r="C19" i="6"/>
  <c r="C19" i="26"/>
  <c r="C31" i="24"/>
  <c r="C31" i="22"/>
  <c r="E31" i="22" s="1"/>
  <c r="C31" i="6"/>
  <c r="C31" i="26"/>
  <c r="C21" i="24"/>
  <c r="C21" i="6"/>
  <c r="C21" i="22"/>
  <c r="E21" i="22" s="1"/>
  <c r="C21" i="26"/>
  <c r="C33" i="24"/>
  <c r="C33" i="6"/>
  <c r="C33" i="22"/>
  <c r="E33" i="22" s="1"/>
  <c r="C33" i="26"/>
  <c r="C24" i="24"/>
  <c r="C24" i="22"/>
  <c r="E24" i="22" s="1"/>
  <c r="C24" i="6"/>
  <c r="C24" i="26"/>
  <c r="C32" i="24"/>
  <c r="C32" i="22"/>
  <c r="E32" i="22" s="1"/>
  <c r="C32" i="6"/>
  <c r="C32" i="26"/>
  <c r="C12" i="24"/>
  <c r="C12" i="22"/>
  <c r="E12" i="22" s="1"/>
  <c r="C12" i="6"/>
  <c r="C12" i="26"/>
  <c r="D12" i="24"/>
  <c r="F12" i="24" s="1"/>
  <c r="D21" i="24"/>
  <c r="F21" i="24" s="1"/>
  <c r="D25" i="24"/>
  <c r="F25" i="24" s="1"/>
  <c r="D33" i="24"/>
  <c r="F33" i="24" s="1"/>
  <c r="D28" i="24"/>
  <c r="F28" i="24" s="1"/>
  <c r="D10" i="24"/>
  <c r="F10" i="24" s="1"/>
  <c r="D15" i="24"/>
  <c r="F15" i="24" s="1"/>
  <c r="D26" i="24"/>
  <c r="F26" i="24" s="1"/>
  <c r="D24" i="24"/>
  <c r="F24" i="24" s="1"/>
  <c r="D31" i="24"/>
  <c r="F31" i="24" s="1"/>
  <c r="D11" i="24"/>
  <c r="F11" i="24" s="1"/>
  <c r="D14" i="24"/>
  <c r="F14" i="24" s="1"/>
  <c r="D27" i="24"/>
  <c r="F27" i="24" s="1"/>
  <c r="D34" i="24"/>
  <c r="F34" i="24" s="1"/>
  <c r="D29" i="24"/>
  <c r="F29" i="24" s="1"/>
  <c r="D23" i="24"/>
  <c r="F23" i="24" s="1"/>
  <c r="D13" i="24"/>
  <c r="F13" i="24" s="1"/>
  <c r="D22" i="24"/>
  <c r="F22" i="24" s="1"/>
  <c r="D19" i="24"/>
  <c r="F19" i="24" s="1"/>
  <c r="D20" i="24"/>
  <c r="F20" i="24" s="1"/>
  <c r="D18" i="24"/>
  <c r="F18" i="24" s="1"/>
  <c r="D17" i="24"/>
  <c r="F17" i="24" s="1"/>
  <c r="D30" i="24"/>
  <c r="F30" i="24" s="1"/>
  <c r="D16" i="24"/>
  <c r="F16" i="24" s="1"/>
  <c r="D32" i="24"/>
  <c r="F32" i="24" s="1"/>
  <c r="D9" i="24"/>
  <c r="C16" i="24"/>
  <c r="C16" i="6"/>
  <c r="C16" i="22"/>
  <c r="E16" i="22" s="1"/>
  <c r="C16" i="26"/>
  <c r="C10" i="24"/>
  <c r="C10" i="22"/>
  <c r="E10" i="22" s="1"/>
  <c r="C10" i="6"/>
  <c r="C10" i="26"/>
  <c r="C14" i="24"/>
  <c r="C14" i="22"/>
  <c r="E14" i="22" s="1"/>
  <c r="C14" i="6"/>
  <c r="C14" i="26"/>
  <c r="E13" i="6" l="1"/>
  <c r="D13" i="6"/>
  <c r="F13" i="6" s="1"/>
  <c r="G13" i="6" s="1"/>
  <c r="D10" i="6"/>
  <c r="F10" i="6" s="1"/>
  <c r="G10" i="6" s="1"/>
  <c r="E35" i="22"/>
  <c r="E26" i="6"/>
  <c r="D26" i="6"/>
  <c r="F26" i="6" s="1"/>
  <c r="G26" i="6" s="1"/>
  <c r="D34" i="6"/>
  <c r="F34" i="6" s="1"/>
  <c r="G34" i="6" s="1"/>
  <c r="E20" i="6"/>
  <c r="D20" i="6"/>
  <c r="F20" i="6" s="1"/>
  <c r="G20" i="6" s="1"/>
  <c r="C37" i="24"/>
  <c r="D12" i="6"/>
  <c r="F12" i="6" s="1"/>
  <c r="G12" i="6" s="1"/>
  <c r="E24" i="6"/>
  <c r="D24" i="6"/>
  <c r="F24" i="6" s="1"/>
  <c r="G24" i="6" s="1"/>
  <c r="D19" i="6"/>
  <c r="F19" i="6" s="1"/>
  <c r="G19" i="6" s="1"/>
  <c r="D23" i="6"/>
  <c r="F23" i="6" s="1"/>
  <c r="G23" i="6" s="1"/>
  <c r="E9" i="6"/>
  <c r="D9" i="6"/>
  <c r="F9" i="6" s="1"/>
  <c r="G9" i="6" s="1"/>
  <c r="D35" i="24"/>
  <c r="F35" i="24" s="1"/>
  <c r="F9" i="24"/>
  <c r="D33" i="6"/>
  <c r="F33" i="6" s="1"/>
  <c r="G33" i="6" s="1"/>
  <c r="E33" i="6"/>
  <c r="D21" i="6"/>
  <c r="F21" i="6" s="1"/>
  <c r="G21" i="6" s="1"/>
  <c r="E22" i="6"/>
  <c r="D22" i="6"/>
  <c r="F22" i="6" s="1"/>
  <c r="G22" i="6" s="1"/>
  <c r="D18" i="6"/>
  <c r="F18" i="6" s="1"/>
  <c r="G18" i="6" s="1"/>
  <c r="D25" i="6"/>
  <c r="F25" i="6" s="1"/>
  <c r="G25" i="6" s="1"/>
  <c r="E27" i="6"/>
  <c r="D27" i="6"/>
  <c r="F27" i="6" s="1"/>
  <c r="G27" i="6" s="1"/>
  <c r="D29" i="6"/>
  <c r="F29" i="6" s="1"/>
  <c r="G29" i="6" s="1"/>
  <c r="E29" i="6"/>
  <c r="D17" i="6"/>
  <c r="F17" i="6" s="1"/>
  <c r="G17" i="6" s="1"/>
  <c r="E17" i="6"/>
  <c r="E30" i="6"/>
  <c r="D30" i="6"/>
  <c r="F30" i="6" s="1"/>
  <c r="G30" i="6" s="1"/>
  <c r="D32" i="6"/>
  <c r="F32" i="6" s="1"/>
  <c r="G32" i="6" s="1"/>
  <c r="D31" i="6"/>
  <c r="F31" i="6" s="1"/>
  <c r="G31" i="6" s="1"/>
  <c r="D15" i="6"/>
  <c r="F15" i="6" s="1"/>
  <c r="G15" i="6" s="1"/>
  <c r="E15" i="6"/>
  <c r="D28" i="6"/>
  <c r="F28" i="6" s="1"/>
  <c r="G28" i="6" s="1"/>
  <c r="D11" i="6"/>
  <c r="F11" i="6" s="1"/>
  <c r="G11" i="6" s="1"/>
  <c r="D14" i="6"/>
  <c r="F14" i="6" s="1"/>
  <c r="G14" i="6" s="1"/>
  <c r="E14" i="6"/>
  <c r="D16" i="6"/>
  <c r="F16" i="6" s="1"/>
  <c r="G16" i="6" s="1"/>
  <c r="E16" i="6"/>
  <c r="E12" i="6" l="1"/>
  <c r="E34" i="6"/>
  <c r="E11" i="6"/>
  <c r="E28" i="6"/>
  <c r="E21" i="6"/>
  <c r="E19" i="6"/>
  <c r="E10" i="6"/>
  <c r="E31" i="6"/>
  <c r="E18" i="6"/>
  <c r="E32" i="6"/>
  <c r="E23" i="6"/>
  <c r="E25" i="6"/>
  <c r="G35" i="6"/>
  <c r="F9" i="21" s="1"/>
  <c r="D9" i="21" l="1"/>
  <c r="E9" i="21"/>
  <c r="G33" i="22" l="1"/>
  <c r="G29" i="22"/>
  <c r="G25" i="22"/>
  <c r="G21" i="22"/>
  <c r="G17" i="22"/>
  <c r="G13" i="22"/>
  <c r="G9" i="22"/>
  <c r="G34" i="22"/>
  <c r="G30" i="22"/>
  <c r="G26" i="22"/>
  <c r="G22" i="22"/>
  <c r="G18" i="22"/>
  <c r="G14" i="22"/>
  <c r="G10" i="22"/>
  <c r="G31" i="22"/>
  <c r="G27" i="22"/>
  <c r="G23" i="22"/>
  <c r="G19" i="22"/>
  <c r="G15" i="22"/>
  <c r="G11" i="22"/>
  <c r="G20" i="22"/>
  <c r="G24" i="22"/>
  <c r="G32" i="22"/>
  <c r="G16" i="22"/>
  <c r="G28" i="22"/>
  <c r="G12" i="22"/>
  <c r="G27" i="24" l="1"/>
  <c r="F27" i="22"/>
  <c r="D27" i="26"/>
  <c r="F9" i="22"/>
  <c r="G9" i="24"/>
  <c r="G35" i="22"/>
  <c r="D9" i="26"/>
  <c r="F17" i="22"/>
  <c r="G17" i="24"/>
  <c r="D17" i="26"/>
  <c r="G34" i="24"/>
  <c r="F34" i="22"/>
  <c r="D34" i="26"/>
  <c r="F24" i="22"/>
  <c r="G24" i="24"/>
  <c r="D24" i="26"/>
  <c r="F21" i="22"/>
  <c r="G21" i="24"/>
  <c r="D21" i="26"/>
  <c r="G11" i="24"/>
  <c r="F11" i="22"/>
  <c r="D11" i="26"/>
  <c r="F16" i="22"/>
  <c r="G16" i="24"/>
  <c r="D16" i="26"/>
  <c r="G32" i="24"/>
  <c r="F32" i="22"/>
  <c r="D32" i="26"/>
  <c r="F31" i="22"/>
  <c r="G31" i="24"/>
  <c r="D31" i="26"/>
  <c r="F10" i="22"/>
  <c r="G10" i="24"/>
  <c r="D10" i="26"/>
  <c r="F13" i="22"/>
  <c r="G13" i="24"/>
  <c r="D13" i="26"/>
  <c r="F20" i="22"/>
  <c r="G20" i="24"/>
  <c r="D20" i="26"/>
  <c r="F14" i="22"/>
  <c r="G14" i="24"/>
  <c r="D14" i="26"/>
  <c r="F18" i="22"/>
  <c r="G18" i="24"/>
  <c r="D18" i="26"/>
  <c r="G15" i="24"/>
  <c r="F15" i="22"/>
  <c r="D15" i="26"/>
  <c r="F22" i="22"/>
  <c r="G22" i="24"/>
  <c r="D22" i="26"/>
  <c r="F25" i="22"/>
  <c r="G25" i="24"/>
  <c r="D25" i="26"/>
  <c r="F12" i="22"/>
  <c r="G12" i="24"/>
  <c r="D12" i="26"/>
  <c r="G19" i="24"/>
  <c r="F19" i="22"/>
  <c r="D19" i="26"/>
  <c r="F26" i="22"/>
  <c r="G26" i="24"/>
  <c r="D26" i="26"/>
  <c r="F29" i="22"/>
  <c r="G29" i="24"/>
  <c r="D29" i="26"/>
  <c r="F28" i="22"/>
  <c r="G28" i="24"/>
  <c r="D28" i="26"/>
  <c r="G23" i="24"/>
  <c r="F23" i="22"/>
  <c r="D23" i="26"/>
  <c r="F30" i="22"/>
  <c r="G30" i="24"/>
  <c r="D30" i="26"/>
  <c r="G33" i="24"/>
  <c r="F33" i="22"/>
  <c r="D33" i="26"/>
  <c r="D35" i="26" l="1"/>
  <c r="E28" i="26"/>
  <c r="H28" i="24"/>
  <c r="I28" i="24" s="1"/>
  <c r="F28" i="26" s="1"/>
  <c r="E18" i="26"/>
  <c r="H18" i="24"/>
  <c r="I18" i="24" s="1"/>
  <c r="F18" i="26" s="1"/>
  <c r="E9" i="26"/>
  <c r="H9" i="24"/>
  <c r="I9" i="24" s="1"/>
  <c r="E16" i="26"/>
  <c r="H16" i="24"/>
  <c r="I16" i="24" s="1"/>
  <c r="F16" i="26" s="1"/>
  <c r="E15" i="26"/>
  <c r="H15" i="24"/>
  <c r="I15" i="24" s="1"/>
  <c r="F15" i="26" s="1"/>
  <c r="E24" i="26"/>
  <c r="H24" i="24"/>
  <c r="I24" i="24" s="1"/>
  <c r="F24" i="26" s="1"/>
  <c r="E25" i="26"/>
  <c r="H25" i="24"/>
  <c r="I25" i="24" s="1"/>
  <c r="F25" i="26" s="1"/>
  <c r="E31" i="26"/>
  <c r="H31" i="24"/>
  <c r="I31" i="24" s="1"/>
  <c r="F31" i="26" s="1"/>
  <c r="E13" i="26"/>
  <c r="H13" i="24"/>
  <c r="I13" i="24" s="1"/>
  <c r="F13" i="26" s="1"/>
  <c r="E11" i="26"/>
  <c r="H11" i="24"/>
  <c r="I11" i="24" s="1"/>
  <c r="F11" i="26" s="1"/>
  <c r="E23" i="26"/>
  <c r="H23" i="24"/>
  <c r="I23" i="24" s="1"/>
  <c r="F23" i="26" s="1"/>
  <c r="E30" i="26"/>
  <c r="H30" i="24"/>
  <c r="I30" i="24" s="1"/>
  <c r="F30" i="26" s="1"/>
  <c r="E22" i="26"/>
  <c r="H22" i="24"/>
  <c r="I22" i="24" s="1"/>
  <c r="F22" i="26" s="1"/>
  <c r="E34" i="26"/>
  <c r="H34" i="24"/>
  <c r="I34" i="24" s="1"/>
  <c r="F34" i="26" s="1"/>
  <c r="E26" i="26"/>
  <c r="H26" i="24"/>
  <c r="I26" i="24" s="1"/>
  <c r="F26" i="26" s="1"/>
  <c r="E20" i="26"/>
  <c r="H20" i="24"/>
  <c r="I20" i="24" s="1"/>
  <c r="F20" i="26" s="1"/>
  <c r="E33" i="26"/>
  <c r="H33" i="24"/>
  <c r="I33" i="24" s="1"/>
  <c r="F33" i="26" s="1"/>
  <c r="E19" i="26"/>
  <c r="H19" i="24"/>
  <c r="I19" i="24" s="1"/>
  <c r="F19" i="26" s="1"/>
  <c r="E29" i="26"/>
  <c r="H29" i="24"/>
  <c r="I29" i="24" s="1"/>
  <c r="F29" i="26" s="1"/>
  <c r="E14" i="26"/>
  <c r="H14" i="24"/>
  <c r="I14" i="24" s="1"/>
  <c r="F14" i="26" s="1"/>
  <c r="E32" i="26"/>
  <c r="H32" i="24"/>
  <c r="I32" i="24" s="1"/>
  <c r="F32" i="26" s="1"/>
  <c r="E21" i="26"/>
  <c r="H21" i="24"/>
  <c r="I21" i="24" s="1"/>
  <c r="F21" i="26" s="1"/>
  <c r="E12" i="26"/>
  <c r="H12" i="24"/>
  <c r="I12" i="24" s="1"/>
  <c r="F12" i="26" s="1"/>
  <c r="E10" i="26"/>
  <c r="H10" i="24"/>
  <c r="I10" i="24" s="1"/>
  <c r="F10" i="26" s="1"/>
  <c r="E17" i="26"/>
  <c r="H17" i="24"/>
  <c r="I17" i="24" s="1"/>
  <c r="F17" i="26" s="1"/>
  <c r="E27" i="26"/>
  <c r="H27" i="24"/>
  <c r="I27" i="24" s="1"/>
  <c r="F27" i="26" s="1"/>
  <c r="I37" i="24" l="1"/>
  <c r="F9" i="26"/>
</calcChain>
</file>

<file path=xl/sharedStrings.xml><?xml version="1.0" encoding="utf-8"?>
<sst xmlns="http://schemas.openxmlformats.org/spreadsheetml/2006/main" count="1862" uniqueCount="975">
  <si>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</si>
  <si>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</si>
  <si>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</si>
  <si>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</si>
  <si>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</si>
  <si>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</si>
  <si>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</si>
  <si>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</si>
  <si>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</si>
  <si>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</si>
  <si>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</si>
  <si>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</si>
  <si>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</si>
  <si>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</si>
  <si>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</si>
  <si>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</si>
  <si>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</si>
  <si>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</si>
  <si>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</si>
  <si>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</si>
  <si>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</si>
  <si>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</si>
  <si>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</si>
  <si>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</si>
  <si>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</si>
  <si>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</si>
  <si>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</si>
  <si>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</si>
  <si>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</si>
  <si>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</si>
  <si>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</si>
  <si>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</si>
  <si>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</si>
  <si>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</si>
  <si>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</si>
  <si>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</si>
  <si>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</si>
  <si>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</si>
  <si>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</si>
  <si>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</si>
  <si>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</si>
  <si>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</si>
  <si>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</si>
  <si>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</si>
  <si>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Reinvermögen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</si>
  <si>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</si>
  <si>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</si>
  <si>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</si>
  <si>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</si>
  <si>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</si>
  <si>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</si>
  <si>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</si>
  <si>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</si>
  <si>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</si>
  <si>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</si>
  <si>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</si>
  <si>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</si>
  <si>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</si>
  <si>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</si>
  <si>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</si>
  <si>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</si>
  <si>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</si>
  <si>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</si>
  <si>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</si>
  <si>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</si>
  <si>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</si>
  <si>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</si>
  <si>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</si>
  <si>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</si>
  <si>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</si>
  <si>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</si>
  <si>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</si>
  <si>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</si>
  <si>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(C - 100) * D</t>
  </si>
  <si>
    <t>G / D</t>
  </si>
  <si>
    <t>D / E</t>
  </si>
  <si>
    <t>F + G</t>
  </si>
  <si>
    <t>Holdinggesellschaften</t>
  </si>
  <si>
    <t>Domizilgesellschaften</t>
  </si>
  <si>
    <t>Gemischte Gesellschaften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</si>
  <si>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</si>
  <si>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</si>
  <si>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</si>
  <si>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</si>
  <si>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</si>
  <si>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</si>
  <si>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</si>
  <si>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</si>
  <si>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</si>
  <si>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</si>
  <si>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</si>
  <si>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</si>
  <si>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</si>
  <si>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</si>
  <si>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</si>
  <si>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</si>
  <si>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</si>
  <si>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Z</t>
  </si>
  <si>
    <t>Ressourcen-
index</t>
  </si>
  <si>
    <t>A</t>
  </si>
  <si>
    <t>B</t>
  </si>
  <si>
    <t>Auszahlung
pro Einwohner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</si>
  <si>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</si>
  <si>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</si>
  <si>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</si>
  <si>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</si>
  <si>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</si>
  <si>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</si>
  <si>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</si>
  <si>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</si>
  <si>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</si>
  <si>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</si>
  <si>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</si>
  <si>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</si>
  <si>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</si>
  <si>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</si>
  <si>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</si>
  <si>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</si>
  <si>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</si>
  <si>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</si>
  <si>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</si>
  <si>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</si>
  <si>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</si>
  <si>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</si>
  <si>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</si>
  <si>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</si>
  <si>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</si>
  <si>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</si>
  <si>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</si>
  <si>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</si>
  <si>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</si>
  <si>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</si>
  <si>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</si>
  <si>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</si>
  <si>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</si>
  <si>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</si>
  <si>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</si>
  <si>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</si>
  <si>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</si>
  <si>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</si>
  <si>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</si>
  <si>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</si>
  <si>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</si>
  <si>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</si>
  <si>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</si>
  <si>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</si>
  <si>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</si>
  <si>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</si>
  <si>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</si>
  <si>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</si>
  <si>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</si>
  <si>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</si>
  <si>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</si>
  <si>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</si>
  <si>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</si>
  <si>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</si>
  <si>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</si>
  <si>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</si>
  <si>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</si>
  <si>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</si>
  <si>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</si>
  <si>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</si>
  <si>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</si>
  <si>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</si>
  <si>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</si>
  <si>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</si>
  <si>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</si>
  <si>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</si>
  <si>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</si>
  <si>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</si>
  <si>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</si>
  <si>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</si>
  <si>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</si>
  <si>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</si>
  <si>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</si>
  <si>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</si>
  <si>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</si>
  <si>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</si>
  <si>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</si>
  <si>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</si>
  <si>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</si>
  <si>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</si>
  <si>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</si>
  <si>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</si>
  <si>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</si>
  <si>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</si>
  <si>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</si>
  <si>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</si>
  <si>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</si>
  <si>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</si>
  <si>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</si>
  <si>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</si>
  <si>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</si>
  <si>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</si>
  <si>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</si>
  <si>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</si>
  <si>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</si>
  <si>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</si>
  <si>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</si>
  <si>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</si>
  <si>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</si>
  <si>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</si>
  <si>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</si>
  <si>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</si>
  <si>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</si>
  <si>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</si>
  <si>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</si>
  <si>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</si>
  <si>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</si>
  <si>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</si>
  <si>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Formule pour pondération</t>
  </si>
  <si>
    <t>Pondération (ω)</t>
  </si>
  <si>
    <t>Revenu déterminant pour l'imposition à la source</t>
  </si>
  <si>
    <t>Fortune nette</t>
  </si>
  <si>
    <t>Sociétés holding</t>
  </si>
  <si>
    <t>Sociétés de domicile</t>
  </si>
  <si>
    <t>Sociétés mixtes</t>
  </si>
  <si>
    <t>AFA totale</t>
  </si>
  <si>
    <t>H / H[Suisse] * 100</t>
  </si>
  <si>
    <t>Dotation/E[Suisse]*E</t>
  </si>
  <si>
    <t>H / F[Suisse]</t>
  </si>
  <si>
    <t>Relevant income taxed at source</t>
  </si>
  <si>
    <t>Net wealth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</si>
  <si>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</si>
  <si>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</si>
  <si>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</si>
  <si>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</si>
  <si>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</si>
  <si>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</si>
  <si>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Federal Finance Administration FFA</t>
  </si>
  <si>
    <t>Fiscal equalization between the Confederation and the cantons</t>
  </si>
  <si>
    <t>Overview of resource equalization payments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</si>
  <si>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</si>
  <si>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</si>
  <si>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</si>
  <si>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</si>
  <si>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</si>
  <si>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</si>
  <si>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</si>
  <si>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</si>
  <si>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</si>
  <si>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</si>
  <si>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</si>
  <si>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</si>
  <si>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</si>
  <si>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</si>
  <si>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</si>
  <si>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</si>
  <si>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</si>
  <si>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</si>
  <si>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</si>
  <si>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</si>
  <si>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</si>
  <si>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</si>
  <si>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</si>
  <si>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</si>
  <si>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</si>
  <si>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</si>
  <si>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</si>
  <si>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</si>
  <si>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</si>
  <si>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</si>
  <si>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</si>
  <si>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</si>
  <si>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</si>
  <si>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</si>
  <si>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</si>
  <si>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</si>
  <si>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</si>
  <si>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</si>
  <si>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</si>
  <si>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</si>
  <si>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</si>
  <si>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</si>
  <si>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</si>
  <si>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</si>
  <si>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</si>
  <si>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</si>
  <si>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</si>
  <si>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</si>
  <si>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</si>
  <si>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</si>
  <si>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</si>
  <si>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</si>
  <si>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</si>
  <si>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</si>
  <si>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</si>
  <si>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</si>
  <si>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</si>
  <si>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</si>
  <si>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</si>
  <si>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</si>
  <si>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</si>
  <si>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</si>
  <si>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</si>
  <si>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</si>
  <si>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</si>
  <si>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</si>
  <si>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</si>
  <si>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</si>
  <si>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</si>
  <si>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</si>
  <si>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</si>
  <si>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</si>
  <si>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</si>
  <si>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</si>
  <si>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</si>
  <si>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</si>
  <si>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</si>
  <si>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</si>
  <si>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</si>
  <si>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</si>
  <si>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</si>
  <si>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</si>
  <si>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</si>
  <si>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</si>
  <si>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</si>
  <si>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</si>
  <si>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in CHF 1000</t>
  </si>
  <si>
    <t>Formula di ponderazione</t>
  </si>
  <si>
    <t>Ponderazione (ω)</t>
  </si>
  <si>
    <t>Reddito determinante tassato alla fonte</t>
  </si>
  <si>
    <t>Sostanza netta</t>
  </si>
  <si>
    <t>Società holding</t>
  </si>
  <si>
    <t>Società di domicilio</t>
  </si>
  <si>
    <t>Società miste</t>
  </si>
  <si>
    <t>Totale BIA</t>
  </si>
  <si>
    <t>H / H[Svizzera] * 100</t>
  </si>
  <si>
    <t>Dotazione/E[Svizzera]*E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</si>
  <si>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</si>
  <si>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</si>
  <si>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</si>
  <si>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</si>
  <si>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</si>
  <si>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</si>
  <si>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</si>
  <si>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</si>
  <si>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</si>
  <si>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</si>
  <si>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</si>
  <si>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</si>
  <si>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</si>
  <si>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 besteuerte
Grenzgänger aus
Frankreich mit
Besteuerung durch
den Kanton Genf</t>
  </si>
  <si>
    <t>Begrenzt besteuerte
Grenzgänger aus
Frankreich mit
Besteuerung durch
Frankreich</t>
  </si>
  <si>
    <t>Begrenzt
besteuerte
Grenzgänger
aus Italien</t>
  </si>
  <si>
    <t>Ergebnis auf
der Basis der
Bruttolöhne
(Grenzgänger)</t>
  </si>
  <si>
    <t>Massgebende
quellenbesteuerte
Einkommen</t>
  </si>
  <si>
    <t>Massgebendes
Vermögen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</si>
  <si>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</si>
  <si>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</si>
  <si>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</si>
  <si>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</si>
  <si>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</si>
  <si>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</si>
  <si>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</si>
  <si>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</si>
  <si>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</si>
  <si>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</si>
  <si>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</si>
  <si>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</si>
  <si>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</si>
  <si>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</si>
  <si>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</si>
  <si>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</si>
  <si>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</si>
  <si>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</si>
  <si>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</si>
  <si>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</si>
  <si>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</si>
  <si>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</si>
  <si>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</si>
  <si>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</si>
  <si>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</si>
  <si>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</si>
  <si>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</si>
  <si>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</si>
  <si>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Massgebende quellenbesteuerte Einkommen</t>
  </si>
  <si>
    <t>Fortune
déterminante</t>
  </si>
  <si>
    <t>Sostanza
determinante</t>
  </si>
  <si>
    <t>Relevant
wealth</t>
  </si>
  <si>
    <t>Au profit
d'autres cantons</t>
  </si>
  <si>
    <t>Reçu
d'autres cantons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</si>
  <si>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</si>
  <si>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</si>
  <si>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</si>
  <si>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</si>
  <si>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</si>
  <si>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</si>
  <si>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</si>
  <si>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</si>
  <si>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</si>
  <si>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</si>
  <si>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</si>
  <si>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</si>
  <si>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</si>
  <si>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</si>
  <si>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</si>
  <si>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</si>
  <si>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</si>
  <si>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</si>
  <si>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</si>
  <si>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</si>
  <si>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</si>
  <si>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</si>
  <si>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</si>
  <si>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</si>
  <si>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</si>
  <si>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</si>
  <si>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</si>
  <si>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</si>
  <si>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</si>
  <si>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</si>
  <si>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</si>
  <si>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</si>
  <si>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</si>
  <si>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</si>
  <si>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</si>
  <si>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</si>
  <si>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</si>
  <si>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A favore di
altri Cantoni</t>
  </si>
  <si>
    <t>Ricevuto da
altri Cantoni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</si>
  <si>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</si>
  <si>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</si>
  <si>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</si>
  <si>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</si>
  <si>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</si>
  <si>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</si>
  <si>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</si>
  <si>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</si>
  <si>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</si>
  <si>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</si>
  <si>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</si>
  <si>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</si>
  <si>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</si>
  <si>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</si>
  <si>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</si>
  <si>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</si>
  <si>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</si>
  <si>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</si>
  <si>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</si>
  <si>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</si>
  <si>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</si>
  <si>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</si>
  <si>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</si>
  <si>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</si>
  <si>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</si>
  <si>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</si>
  <si>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</si>
  <si>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</si>
  <si>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</si>
  <si>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Relevant tax
repartitions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</si>
  <si>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</si>
  <si>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</si>
  <si>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</si>
  <si>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</si>
  <si>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</si>
  <si>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</si>
  <si>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</si>
  <si>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</si>
  <si>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</si>
  <si>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</si>
  <si>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</si>
  <si>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</si>
  <si>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</si>
  <si>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</si>
  <si>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</si>
  <si>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</si>
  <si>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</si>
  <si>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Frontaliers,
total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</si>
  <si>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</si>
  <si>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</si>
  <si>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</si>
  <si>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</si>
  <si>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</si>
  <si>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</si>
  <si>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</si>
  <si>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</si>
  <si>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</si>
  <si>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</si>
  <si>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</si>
  <si>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</si>
  <si>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</si>
  <si>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</si>
  <si>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</si>
  <si>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</si>
  <si>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</si>
  <si>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</si>
  <si>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</si>
  <si>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</si>
  <si>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</si>
  <si>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</si>
  <si>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</si>
  <si>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</si>
  <si>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</si>
  <si>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</si>
  <si>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</si>
  <si>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</si>
  <si>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</si>
  <si>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</si>
  <si>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</si>
  <si>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</si>
  <si>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</si>
  <si>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</si>
  <si>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</si>
  <si>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</si>
  <si>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</si>
  <si>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</si>
  <si>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</si>
  <si>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</si>
  <si>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</si>
  <si>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</si>
  <si>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</si>
  <si>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</si>
  <si>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</si>
  <si>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</si>
  <si>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</si>
  <si>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</si>
  <si>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</si>
  <si>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</si>
  <si>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</si>
  <si>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</si>
  <si>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</si>
  <si>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</si>
  <si>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</si>
  <si>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</si>
  <si>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</si>
  <si>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</si>
  <si>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</si>
  <si>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</si>
  <si>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</si>
  <si>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</si>
  <si>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</si>
  <si>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</si>
  <si>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</si>
  <si>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</si>
  <si>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</si>
  <si>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</si>
  <si>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</si>
  <si>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</si>
  <si>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</si>
  <si>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</si>
  <si>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</si>
  <si>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</si>
  <si>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</si>
  <si>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</si>
  <si>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</si>
  <si>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</si>
  <si>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</si>
  <si>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</si>
  <si>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</si>
  <si>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</si>
  <si>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</si>
  <si>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</si>
  <si>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</si>
  <si>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</si>
  <si>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</si>
  <si>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</si>
  <si>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</si>
  <si>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</si>
  <si>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</si>
  <si>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</si>
  <si>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</si>
  <si>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</si>
  <si>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</si>
  <si>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</si>
  <si>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</si>
  <si>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</si>
  <si>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</si>
  <si>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</si>
  <si>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</si>
  <si>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</si>
  <si>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Tax receipts income</t>
  </si>
  <si>
    <t>Fiscal equalization data</t>
  </si>
  <si>
    <t>Relevant income</t>
  </si>
  <si>
    <t>* Tax receipts of cantons and communes</t>
  </si>
  <si>
    <t>Average</t>
  </si>
  <si>
    <t>Guaranteed minimum financing</t>
  </si>
  <si>
    <t>Start of progression</t>
  </si>
  <si>
    <t>Maximum marginal levy</t>
  </si>
  <si>
    <t>STR per capita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</si>
  <si>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</si>
  <si>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</si>
  <si>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</si>
  <si>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</si>
  <si>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</si>
  <si>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</si>
  <si>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</si>
  <si>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</si>
  <si>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</si>
  <si>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</si>
  <si>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</si>
  <si>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</si>
  <si>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</si>
  <si>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</si>
  <si>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</si>
  <si>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</si>
  <si>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</si>
  <si>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</si>
  <si>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</si>
  <si>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</si>
  <si>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</si>
  <si>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</si>
  <si>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</si>
  <si>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</si>
  <si>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</si>
  <si>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</si>
  <si>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</si>
  <si>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</si>
  <si>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</si>
  <si>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</si>
  <si>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</si>
  <si>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</si>
  <si>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</si>
  <si>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</si>
  <si>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</si>
  <si>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</si>
  <si>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</si>
  <si>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</si>
  <si>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</si>
  <si>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</si>
  <si>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</si>
  <si>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</si>
  <si>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</si>
  <si>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</si>
  <si>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</si>
  <si>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</si>
  <si>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</si>
  <si>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Outpayment
in index
points</t>
  </si>
  <si>
    <t>Gewinne juristischer Personen (betagewichtet)</t>
  </si>
  <si>
    <t>Gewinne juristischer Personen (zetagewichtet)</t>
  </si>
  <si>
    <t>ZETA</t>
  </si>
  <si>
    <t>Massgebender
Gewinn</t>
  </si>
  <si>
    <t>Zeta-1</t>
  </si>
  <si>
    <t>Zeta-2</t>
  </si>
  <si>
    <t>Zeta</t>
  </si>
  <si>
    <t>Beta</t>
  </si>
  <si>
    <t>Berechnung Zeta-2*</t>
  </si>
  <si>
    <t>Berechnung Zeta-2</t>
  </si>
  <si>
    <t>Berechnung Zeta-1</t>
  </si>
  <si>
    <t>Boxengewinne</t>
  </si>
  <si>
    <t>Zeta-2*</t>
  </si>
  <si>
    <t>Ordentliche Gewinne</t>
  </si>
  <si>
    <t>Ausschöpfung JP</t>
  </si>
  <si>
    <t>Zeta-2 (ohne Berücksichtigung der Bandbreiten)</t>
  </si>
  <si>
    <t>Bandbreite von Zeta-2</t>
  </si>
  <si>
    <t>Obere Grenze der Bandbreite (Art. 57d Abs. 2 Bst. b FiLaV)</t>
  </si>
  <si>
    <t>Untere Grenze der Bandbreite (Art. 57d Abs. 2 Bst. b FiLaV)</t>
  </si>
  <si>
    <t>Ausschöpfung natürlicher Personen</t>
  </si>
  <si>
    <t>Ausschöpfung NP</t>
  </si>
  <si>
    <t>Zeta-1 (ohne Berücksichtigung der Bandbreiten)</t>
  </si>
  <si>
    <t>Bandbreite von Zeta-1</t>
  </si>
  <si>
    <t>Obere Grenze der Bandbreite (Art. 57d Abs. 2 Bst. a FiLaV)</t>
  </si>
  <si>
    <t>Untere Grenze der Bandbreite (Art. 57d Abs. 2 Bst. a FiLaV)</t>
  </si>
  <si>
    <t>O</t>
  </si>
  <si>
    <t>Gewichtete
Boxen-
gewinne</t>
  </si>
  <si>
    <t>Fiskaleinnahmen juristische Personen</t>
  </si>
  <si>
    <t>D * E</t>
  </si>
  <si>
    <t>C + F</t>
  </si>
  <si>
    <t>(A + B) * C</t>
  </si>
  <si>
    <t>Berechnung</t>
  </si>
  <si>
    <t>P</t>
  </si>
  <si>
    <t>AB</t>
  </si>
  <si>
    <t>AC</t>
  </si>
  <si>
    <t>AD</t>
  </si>
  <si>
    <t>AE</t>
  </si>
  <si>
    <t>G / O</t>
  </si>
  <si>
    <t>R * E</t>
  </si>
  <si>
    <t>Q + S + T + U</t>
  </si>
  <si>
    <t>W + X + Y</t>
  </si>
  <si>
    <t>P / AA</t>
  </si>
  <si>
    <t>AD ≤ AB ≤ AC</t>
  </si>
  <si>
    <r>
      <t xml:space="preserve"> Z</t>
    </r>
    <r>
      <rPr>
        <vertAlign val="subscript"/>
        <sz val="9"/>
        <rFont val="Arial"/>
        <family val="2"/>
      </rPr>
      <t>2</t>
    </r>
  </si>
  <si>
    <t>K(Total) / I(Total)</t>
  </si>
  <si>
    <t>Bêta</t>
  </si>
  <si>
    <t>Zêta</t>
  </si>
  <si>
    <t>Zêta-1</t>
  </si>
  <si>
    <t>Zêta-2</t>
  </si>
  <si>
    <t>Bénéfices éligibles à la patent box</t>
  </si>
  <si>
    <t>Bénéfices ordinaires</t>
  </si>
  <si>
    <t>Calcolo zeta-2*</t>
  </si>
  <si>
    <t xml:space="preserve">Zeta-2* calculation </t>
  </si>
  <si>
    <t>Calcul de zêta-2*</t>
  </si>
  <si>
    <t>Calcul de zêta-2</t>
  </si>
  <si>
    <t>Calcolo zeta-2</t>
  </si>
  <si>
    <t xml:space="preserve">Zeta-2 calculation </t>
  </si>
  <si>
    <t>Calcul de zêta-1</t>
  </si>
  <si>
    <t xml:space="preserve">Zeta-1 calculation </t>
  </si>
  <si>
    <t>Calcolo zeta-1</t>
  </si>
  <si>
    <t>Zêta-2*</t>
  </si>
  <si>
    <t>Calcul</t>
  </si>
  <si>
    <t>Calcolo</t>
  </si>
  <si>
    <t>Calculation</t>
  </si>
  <si>
    <t>Utile determinante</t>
  </si>
  <si>
    <t>Relevant profits</t>
  </si>
  <si>
    <r>
      <t>Z</t>
    </r>
    <r>
      <rPr>
        <vertAlign val="subscript"/>
        <sz val="9"/>
        <color theme="1"/>
        <rFont val="Arial"/>
        <family val="2"/>
      </rPr>
      <t>1</t>
    </r>
  </si>
  <si>
    <t>L ≤ J ≤ K</t>
  </si>
  <si>
    <t>Minder-
gewichtung</t>
  </si>
  <si>
    <t>V / Z</t>
  </si>
  <si>
    <r>
      <t>(A + B * 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*) * F</t>
    </r>
  </si>
  <si>
    <r>
      <t>(H * 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* + I) / (H + I)</t>
    </r>
  </si>
  <si>
    <r>
      <t>A+B*Z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+N*(1-Z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)</t>
    </r>
  </si>
  <si>
    <t>(1 - J) * I</t>
  </si>
  <si>
    <t>Beta-Faktoren
Zeta-Faktoren
Umbuchungsfaktor</t>
  </si>
  <si>
    <t>Massgebendes Potenzial NP</t>
  </si>
  <si>
    <t>Gewinnsteuereinnahmen Kantone und Gemeinden</t>
  </si>
  <si>
    <t>Kantonsanteil an Gewinnsteuereinnahmen DBSt</t>
  </si>
  <si>
    <t xml:space="preserve">Gewinnsteuereinnahmen DBSt </t>
  </si>
  <si>
    <t>Kantonsanteil an DBSt</t>
  </si>
  <si>
    <t>Gewinnsteuereinnahmen total Kantone und Gemeinden</t>
  </si>
  <si>
    <t>Part des cantons à l'IFD</t>
  </si>
  <si>
    <t>Forschungs- und Entwicklungsaufwand</t>
  </si>
  <si>
    <t>Einkommenssteuern Kantone und Gemeinden</t>
  </si>
  <si>
    <t>Einkommenssteuern DBSt</t>
  </si>
  <si>
    <t>Kantonsanteil an Einkommenssteuern DBSt</t>
  </si>
  <si>
    <t>Vermögenssteuern Kantone und Gemeinden</t>
  </si>
  <si>
    <t>Quellensteuern Kantone und Gemeinden</t>
  </si>
  <si>
    <t>Fiskaleinnahmen NP total Kantone und Gemeinden</t>
  </si>
  <si>
    <t>Massgebende Vermögen</t>
  </si>
  <si>
    <t>Statusgesellschaften</t>
  </si>
  <si>
    <t xml:space="preserve">Umbuchung ehemalige </t>
  </si>
  <si>
    <t>Bénéfice déterminant</t>
  </si>
  <si>
    <t>Massgebender Gewinn ehemaliger Statusgesellschaften</t>
  </si>
  <si>
    <t>D + F + G</t>
  </si>
  <si>
    <t xml:space="preserve">Massgebender
Gewinn übriger
Unternehmen
</t>
  </si>
  <si>
    <t>Massgebender
Gewinn
juristischer
Personen</t>
  </si>
  <si>
    <t xml:space="preserve">Contributo
</t>
  </si>
  <si>
    <t xml:space="preserve">Einzahlung
</t>
  </si>
  <si>
    <t xml:space="preserve">Inpayment
</t>
  </si>
  <si>
    <t xml:space="preserve">Auszahlung
</t>
  </si>
  <si>
    <t xml:space="preserve">Versamento
</t>
  </si>
  <si>
    <t xml:space="preserve">Outpayment
</t>
  </si>
  <si>
    <t>Zetagewichtet (UF)</t>
  </si>
  <si>
    <t>Betagewichtet (1-UF)</t>
  </si>
  <si>
    <t>C * (1-UF)</t>
  </si>
  <si>
    <t>E * UF</t>
  </si>
  <si>
    <t>Ausschöpfung juristischer Personen (JP)</t>
  </si>
  <si>
    <t>Fiskaleinnahmen natürliche Personen (NP)</t>
  </si>
  <si>
    <t>A    Massgebendes Einkommen</t>
  </si>
  <si>
    <t>B    Primäreinkommen der privaten Haushalte</t>
  </si>
  <si>
    <t>A    Revenu déterminant</t>
  </si>
  <si>
    <t>B    Revenu primaire des ménages privés</t>
  </si>
  <si>
    <t>A    Reddito determinante</t>
  </si>
  <si>
    <t>B    Reddito primario delle economie domestiche private</t>
  </si>
  <si>
    <t>B    Primary income of households</t>
  </si>
  <si>
    <t>Kantonsanteil an DBSt natürliche Personen</t>
  </si>
  <si>
    <t>Massgebendes Potenzial JP</t>
  </si>
  <si>
    <t>Calcul du facteur alpha</t>
  </si>
  <si>
    <t>Calcolo fattore alfa</t>
  </si>
  <si>
    <t>Berechnung Faktor Alpha</t>
  </si>
  <si>
    <t>Alpha factor calculation</t>
  </si>
  <si>
    <t>ALPHA</t>
  </si>
  <si>
    <t>Berechnung Faktoren Zeta</t>
  </si>
  <si>
    <r>
      <t>Z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* = </t>
    </r>
  </si>
  <si>
    <t>Calcul des facteurs zêta</t>
  </si>
  <si>
    <t>Calculation of the zeta factors for the profits of legal entities in the assessment year -4</t>
  </si>
  <si>
    <t>Box profits</t>
  </si>
  <si>
    <t>Under-
weighting</t>
  </si>
  <si>
    <t>Weighted
box profits</t>
  </si>
  <si>
    <t>K(total) / I(total)</t>
  </si>
  <si>
    <t>Tax receipts of legal entities</t>
  </si>
  <si>
    <t>Ordinary profits</t>
  </si>
  <si>
    <t>Profit tax receipts cantons and communes</t>
  </si>
  <si>
    <t xml:space="preserve">Profit tax receipts direct federal tax </t>
  </si>
  <si>
    <t>Cantonal share of profit tax receipts direct federal tax</t>
  </si>
  <si>
    <t>Total profit tax receipts cantons and communes</t>
  </si>
  <si>
    <t>Zeta-2 (without taking ranges into account)</t>
  </si>
  <si>
    <t>Zeta-2 range</t>
  </si>
  <si>
    <t>Upper bound of the range (Art 57d para. 2 lit. b FECCO)</t>
  </si>
  <si>
    <t>Lower bound of the range (Art 57d para. 2 lit. b FECCO)</t>
  </si>
  <si>
    <t>Research and development expenses</t>
  </si>
  <si>
    <t>Relevant potential LE</t>
  </si>
  <si>
    <t>Tax receipts of natural persons (NP)</t>
  </si>
  <si>
    <t>Income tax cantons and communes</t>
  </si>
  <si>
    <t>Income tax direct federal tax</t>
  </si>
  <si>
    <t>Cantonal share of income tax direct federal tax</t>
  </si>
  <si>
    <t>Wealth tax cantons and communes</t>
  </si>
  <si>
    <t>Withholding tax cantons and communes</t>
  </si>
  <si>
    <t>Total NP tax receipts cantons and communes</t>
  </si>
  <si>
    <t>Relevant wealth</t>
  </si>
  <si>
    <t>Relevant potential NP</t>
  </si>
  <si>
    <t>Zeta-1 (without taking ranges into account)</t>
  </si>
  <si>
    <t>Zeta-1 range</t>
  </si>
  <si>
    <t>Upper bound of the range (Art 57d para. 2 lit. a FECCO)</t>
  </si>
  <si>
    <t>Lower bound of the range (Art 57d para. 2 lit. a FECCO)</t>
  </si>
  <si>
    <t>Relevant profit of former status companies</t>
  </si>
  <si>
    <t xml:space="preserve">Reclassification of former </t>
  </si>
  <si>
    <t>status companies</t>
  </si>
  <si>
    <t>Beta factors
Zeta factors
Reclassification factor</t>
  </si>
  <si>
    <t>Calculation of the zeta factors</t>
  </si>
  <si>
    <t>Profit of legal entities (beta-weighted)</t>
  </si>
  <si>
    <t>Profit of legal entities (zeta-weighted)</t>
  </si>
  <si>
    <t xml:space="preserve">Utile determinante di società che godevano di statuto fiscale speciale </t>
  </si>
  <si>
    <t>ponderato con fattori beta</t>
  </si>
  <si>
    <t>ponderato con fattori zeta</t>
  </si>
  <si>
    <t>Fattori beta
Fattori zeta
Fattore di conversione</t>
  </si>
  <si>
    <t>ponderato con fattori zeta (UF)</t>
  </si>
  <si>
    <t>ponderato con fattori beta (1-UF)</t>
  </si>
  <si>
    <t>Zeta-weighted (UF)</t>
  </si>
  <si>
    <t>Beta-weighted (1-UF)</t>
  </si>
  <si>
    <t>Gettito IFD</t>
  </si>
  <si>
    <t>Conversione società senza</t>
  </si>
  <si>
    <t>più statuto speciale</t>
  </si>
  <si>
    <t>Relevant
profit of other
companies</t>
  </si>
  <si>
    <t>Relevant
profit of
legal entities</t>
  </si>
  <si>
    <t>Utile
determinante
delle rimanenti
imprese</t>
  </si>
  <si>
    <t>Calcolo dei fattori zeta</t>
  </si>
  <si>
    <t>Utili delle persone giuridiche (ponderati con i fattori zeta)</t>
  </si>
  <si>
    <t>Utili delle persone giuridiche (ponderati con i fattori beta)</t>
  </si>
  <si>
    <t>Utili rientranti nel patent box</t>
  </si>
  <si>
    <t>K(totale) / I(totale)</t>
  </si>
  <si>
    <t>Entrate fiscali delle persone giuridiche</t>
  </si>
  <si>
    <t xml:space="preserve">Utili ordinari </t>
  </si>
  <si>
    <t>Entrate dell’imposta sull’utile di Cantoni e Comuni</t>
  </si>
  <si>
    <t>Entrate dell’imposta sull’utile IFD</t>
  </si>
  <si>
    <t xml:space="preserve">Quota dei Cantoni alle entrate dell’imposta sull’utile IFD  </t>
  </si>
  <si>
    <t>Entrate dell'imposta sull'utile, totale di Cantoni e Comuni</t>
  </si>
  <si>
    <t>Zeta-2 (senza intervalli)</t>
  </si>
  <si>
    <t>Intervallo di zeta-2</t>
  </si>
  <si>
    <t>Limite superiore dell'intervallo (art. 57d cpv. 2 lett. b OPFC)</t>
  </si>
  <si>
    <t>Limite inferiore dell'intervallo (art. 57d cpv. 2 lett. b OPFC)</t>
  </si>
  <si>
    <t>Sfruttamento delle persone giuridiche (PG)</t>
  </si>
  <si>
    <t>Spese di ricerca e sviluppo</t>
  </si>
  <si>
    <t>Potenziale determinante PG</t>
  </si>
  <si>
    <t>Sfruttamento PG</t>
  </si>
  <si>
    <t>Entrate fiscali delle persone fisiche (PF)</t>
  </si>
  <si>
    <t>Imposte sul reddito di Cantoni e Comuni</t>
  </si>
  <si>
    <t>Imposte sul reddito IFD</t>
  </si>
  <si>
    <t>Quota dei Cantoni alle entrate dell’imposta sul reddito IFD</t>
  </si>
  <si>
    <t>Imposte cantonali e comunali sulla sostanza</t>
  </si>
  <si>
    <t>Imposte alla fonte cantonali e comunali</t>
  </si>
  <si>
    <t>Entrate fiscali PF, totale di Cantoni e Comuni</t>
  </si>
  <si>
    <t>Reddito determinante</t>
  </si>
  <si>
    <t>Sostanza determinante</t>
  </si>
  <si>
    <t>Potenziale determinante PF</t>
  </si>
  <si>
    <t>Sfruttamento PF</t>
  </si>
  <si>
    <t>Zeta-1 (senza intervalli)</t>
  </si>
  <si>
    <t>Intervallo di zeta-1</t>
  </si>
  <si>
    <t>Valore medio</t>
  </si>
  <si>
    <t>Ponderazione
ridotta</t>
  </si>
  <si>
    <t>Utili ponderati
rientranti nel
patent box</t>
  </si>
  <si>
    <t>Bénéfice déterminant des anciennes sociétés à statut fiscal</t>
  </si>
  <si>
    <t>Pondéré par les facteurs bêta</t>
  </si>
  <si>
    <t>Pondéré par les facteurs zêta</t>
  </si>
  <si>
    <t>Facteurs bêta
Facteurs zêta
Facteur de transfert comptable</t>
  </si>
  <si>
    <t>Pondération
réduite</t>
  </si>
  <si>
    <t>Bénéfices éligibles à la patent box pondérés</t>
  </si>
  <si>
    <t>Recettes fiscales des personnes morales</t>
  </si>
  <si>
    <t>Recettes de l'impôt sur le bénéfice cantons et communes</t>
  </si>
  <si>
    <t>Recettes de l'impôt sur le bénéfice IFD</t>
  </si>
  <si>
    <t>Part des cantons aux recettes de l'impôt sur le bénéfice IFD</t>
  </si>
  <si>
    <t>Total des recettes de l'impôt sur le bénéfice cantons et communes</t>
  </si>
  <si>
    <t>Zêta-2 (sans tenir compte de la fourchette)</t>
  </si>
  <si>
    <t>Fourchette pour zêta-2</t>
  </si>
  <si>
    <t>Valeur haute de la fourchette (art. 57d, al. 2, let. b, OPFCC)</t>
  </si>
  <si>
    <t>Valeur basse de la fourchette (art. 57d, al. 2, let. b, OPFCC)</t>
  </si>
  <si>
    <t>Dépenses de recherche et développement</t>
  </si>
  <si>
    <t>Impôt sur le revenu cantons et communes</t>
  </si>
  <si>
    <t>Impôt sur le revenu IFD</t>
  </si>
  <si>
    <t>Part des cantons à l'IFD, impôt sur le revenu</t>
  </si>
  <si>
    <t>Impôt sur la fortune cantons et communes</t>
  </si>
  <si>
    <t>Impôt à la source cantons et communes</t>
  </si>
  <si>
    <t>Exploitation des personnes physiques</t>
  </si>
  <si>
    <t>Revenu déterminant</t>
  </si>
  <si>
    <t>Fortunes déterminantes</t>
  </si>
  <si>
    <t>Zêta-1 (sans tenir compte de la fourchette)</t>
  </si>
  <si>
    <t>Fourchette pour zêta-1</t>
  </si>
  <si>
    <t>Valeur haute de la fourchette (art. 57d, al. 2 , let. a, OPFCC)</t>
  </si>
  <si>
    <t>Valeur basse de la fourchette (art. 57d, al. 2 , let. a, OPFCC)</t>
  </si>
  <si>
    <t>Bénéfices des personnes morales (pondérés par les facteurs bêta)</t>
  </si>
  <si>
    <t>Bénéfices des personnes morales (pondérés par les facteurs zêta)</t>
  </si>
  <si>
    <t>Transfert d'anciennes</t>
  </si>
  <si>
    <t>sociétés à statut fiscal</t>
  </si>
  <si>
    <t>Exploitation des personnes morales (PM)</t>
  </si>
  <si>
    <t>Exploitation PM</t>
  </si>
  <si>
    <t>Potentiel déterminant PM</t>
  </si>
  <si>
    <t>Recettes fiscales des personnes physiques (PP)</t>
  </si>
  <si>
    <t>Potentiel déterminant PP</t>
  </si>
  <si>
    <t>Exploitation PP</t>
  </si>
  <si>
    <t>Total des recettes fiscales PP cantons et communes</t>
  </si>
  <si>
    <t>Bénéfice
déterminant
des autres
entreprises</t>
  </si>
  <si>
    <t>vor
Umbuchung</t>
  </si>
  <si>
    <t>nach
Umbuchung</t>
  </si>
  <si>
    <t>avant
transfert</t>
  </si>
  <si>
    <t>après
transfert</t>
  </si>
  <si>
    <t>ante
conversione</t>
  </si>
  <si>
    <t>post
conversione</t>
  </si>
  <si>
    <t>before
reclassification</t>
  </si>
  <si>
    <t>after
reclassification</t>
  </si>
  <si>
    <t>Sfruttamento delle persone fisiche (PF)</t>
  </si>
  <si>
    <t>Result based on
gross wages
(cross-border
commuters)</t>
  </si>
  <si>
    <t xml:space="preserve">        Betagewichtet</t>
  </si>
  <si>
    <t xml:space="preserve">        Zetagewichtet</t>
  </si>
  <si>
    <t xml:space="preserve">        Beta-weighted</t>
  </si>
  <si>
    <t xml:space="preserve">        Zeta-weighted</t>
  </si>
  <si>
    <t>Personal income tax *</t>
  </si>
  <si>
    <t>Withholding tax *</t>
  </si>
  <si>
    <t>Direct federal personal income tax</t>
  </si>
  <si>
    <t>Cantonal share of direct federal personal income tax</t>
  </si>
  <si>
    <t>Wealth tax *</t>
  </si>
  <si>
    <t>Relevant personal income</t>
  </si>
  <si>
    <t>Relevant personal income taxed at source</t>
  </si>
  <si>
    <t>Fiscal exploitation of income</t>
  </si>
  <si>
    <t>Fiscal exploitation of wealth</t>
  </si>
  <si>
    <t>Fiscal exploitation of legal entities (LE)</t>
  </si>
  <si>
    <t>Fiscal exploitation LE</t>
  </si>
  <si>
    <t>Fiscal exploitation of natural persons</t>
  </si>
  <si>
    <t>Fiscal exploitation NP</t>
  </si>
  <si>
    <t>Personal income</t>
  </si>
  <si>
    <t>Personal income taxed at source</t>
  </si>
  <si>
    <t>Proportion</t>
  </si>
  <si>
    <t>Relevant
personal income</t>
  </si>
  <si>
    <t>A    Relevant personal income</t>
  </si>
  <si>
    <t>Relevant
personal income
taxed at source</t>
  </si>
  <si>
    <t>Pondéré par les facteurs zêta (UF)</t>
  </si>
  <si>
    <t>Pondéré par les facteurs bêta (1-UF)</t>
  </si>
  <si>
    <t>D * ω * Delta</t>
  </si>
  <si>
    <t>D * ω * delta</t>
  </si>
  <si>
    <t>E * ω * Delta</t>
  </si>
  <si>
    <t>E * ω * delta</t>
  </si>
  <si>
    <t>F * ω * Delta</t>
  </si>
  <si>
    <t>F * ω * delta</t>
  </si>
  <si>
    <t>G * ω * Delta</t>
  </si>
  <si>
    <t>G * ω * delta</t>
  </si>
  <si>
    <t>H * ω * Delta</t>
  </si>
  <si>
    <t>H * ω * delta</t>
  </si>
  <si>
    <t>I * ω * Delta</t>
  </si>
  <si>
    <t>I * ω * delta</t>
  </si>
  <si>
    <t>Q+R+S+T+U+V+W</t>
  </si>
  <si>
    <t>a</t>
  </si>
  <si>
    <t>b</t>
  </si>
  <si>
    <t>c</t>
  </si>
  <si>
    <t>Kantonsanteil DBSt</t>
  </si>
  <si>
    <t>Natürliche Personen</t>
  </si>
  <si>
    <t>Personnes physiques</t>
  </si>
  <si>
    <t>Persone fisiche</t>
  </si>
  <si>
    <t>Steueraufkommen DBSt</t>
  </si>
  <si>
    <t>Entrées fiscales IFD</t>
  </si>
  <si>
    <t>Direct federal tax revenue</t>
  </si>
  <si>
    <t>Massgebendes Einkommen</t>
  </si>
  <si>
    <t>Gewichtungsfaktor NP</t>
  </si>
  <si>
    <t>Facteur de pondération PP</t>
  </si>
  <si>
    <t>Fattore di ponderazione PF</t>
  </si>
  <si>
    <t>Weighting factor NP</t>
  </si>
  <si>
    <t>Juristische Personen</t>
  </si>
  <si>
    <t>Personnes morales</t>
  </si>
  <si>
    <t>Persone giuridiche</t>
  </si>
  <si>
    <t>Legal entities</t>
  </si>
  <si>
    <t>Massgebender Gewinn</t>
  </si>
  <si>
    <t>Gewichtungsfaktor JP</t>
  </si>
  <si>
    <t>Facteur de pondération PM</t>
  </si>
  <si>
    <t>Fattore di ponderazione PG</t>
  </si>
  <si>
    <t>Weighting factor LE</t>
  </si>
  <si>
    <t>Massgebende
Steuerrepartitionen
Total</t>
  </si>
  <si>
    <t>Répartitions
fiscales
déterminantes
totales</t>
  </si>
  <si>
    <t>Totale
riparti fiscali
determinanti</t>
  </si>
  <si>
    <t>Total 
relevant tax
repartitions</t>
  </si>
  <si>
    <t>d</t>
  </si>
  <si>
    <t>e</t>
  </si>
  <si>
    <t>e / d</t>
  </si>
  <si>
    <t>f</t>
  </si>
  <si>
    <t>g</t>
  </si>
  <si>
    <t>g / f</t>
  </si>
  <si>
    <t>b * (D - C) / a</t>
  </si>
  <si>
    <t>c * (G - F) / a</t>
  </si>
  <si>
    <t>E + H</t>
  </si>
  <si>
    <t>Gewichtungsfaktoren</t>
  </si>
  <si>
    <t>Facteurs de pondération</t>
  </si>
  <si>
    <t>Fattori di ponderazione</t>
  </si>
  <si>
    <t>Weighting factors</t>
  </si>
  <si>
    <t>Natural persons</t>
  </si>
  <si>
    <t>Version</t>
  </si>
  <si>
    <t>Datum</t>
  </si>
  <si>
    <t>26.0</t>
  </si>
  <si>
    <t>02.09.2025</t>
  </si>
  <si>
    <t>FA-2026-250902110146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</si>
</sst>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CHF&quot;\ #,##0;[Red]&quot;CHF&quot;\ \-#,##0"/>
    <numFmt numFmtId="164" formatCode="#,##0_ ;\-#,##0_ ;&quot;-&quot;??_ ;@_ "/>
    <numFmt numFmtId="165" formatCode="0.0_ ;\-0.0_ ;&quot;-&quot;??_ ;@_ "/>
    <numFmt numFmtId="166" formatCode="0.0%_ ;\-0.0%_ ;0.0%_ ;@_ "/>
    <numFmt numFmtId="167" formatCode="0.0%_ ;\-0.0%_ ;&quot;-&quot;??_ ;@_ "/>
    <numFmt numFmtId="168" formatCode="@_ "/>
    <numFmt numFmtId="169" formatCode="0.0%"/>
    <numFmt numFmtId="170" formatCode="_ * #,##0_ ;_ * \-#,##0_ ;_ * &quot;-&quot;??_ ;_ @_ "/>
    <numFmt numFmtId="171" formatCode="_ @"/>
    <numFmt numFmtId="172" formatCode="0.0_ ;\-0.0_ ;0.0_ ;@_ "/>
    <numFmt numFmtId="173" formatCode="#,##0_ ;\-#,##0\ "/>
    <numFmt numFmtId="174" formatCode="0.0_ ;\-0.0_ ;\-_ \ \ ;@_ "/>
    <numFmt numFmtId="175" formatCode="_(* #,##0.00_);_(* \(#,##0.00\);_(* &quot;-&quot;??_);_(@_)"/>
    <numFmt numFmtId="176" formatCode="0_ ;\-0_ ;0_ ;@_ "/>
    <numFmt numFmtId="177" formatCode="0.00000_ ;\-0.00000_ \ "/>
    <numFmt numFmtId="178" formatCode="0;;"/>
  </numFmts>
  <fonts count="52" x14ac:knownFonts="1">
    <font>
      <sz val="10"/>
      <name val="Arial"/>
    </font>
    <font>
      <sz val="8"/>
      <color rgb="FF000000"/>
      <name val="Arial"/>
      <family val="2"/>
    </font>
    <font>
      <b/>
      <sz val="14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Arial"/>
    </font>
    <font>
      <sz val="10"/>
      <color rgb="FF000000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rgb="FF0000FF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1"/>
      <color rgb="FF000000"/>
      <name val="Arial"/>
      <family val="2"/>
    </font>
    <font>
      <sz val="8"/>
      <color indexed="8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8"/>
      <color rgb="FF0000FF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i/>
      <sz val="8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i/>
      <sz val="8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8"/>
      <color rgb="FFC00000"/>
      <name val="Arial"/>
      <family val="2"/>
    </font>
    <font>
      <b/>
      <sz val="9"/>
      <color theme="0"/>
      <name val="Arial"/>
      <family val="2"/>
    </font>
    <font>
      <sz val="8"/>
      <color theme="0" tint="-0.499984740745262"/>
      <name val="Arial"/>
      <family val="2"/>
    </font>
    <font>
      <vertAlign val="subscript"/>
      <sz val="9"/>
      <name val="Arial"/>
      <family val="2"/>
    </font>
    <font>
      <vertAlign val="subscript"/>
      <sz val="9"/>
      <color theme="1"/>
      <name val="Arial"/>
      <family val="2"/>
    </font>
    <font>
      <vertAlign val="subscript"/>
      <sz val="8"/>
      <color theme="1"/>
      <name val="Arial"/>
      <family val="2"/>
    </font>
    <font>
      <vertAlign val="subscript"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0EDF8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1" fontId="3" fillId="0" borderId="0" xfId="0" applyNumberFormat="1" applyFont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5" fillId="0" borderId="2" xfId="0" applyFont="1" applyBorder="1"/>
    <xf numFmtId="0" fontId="8" fillId="2" borderId="1" xfId="0" applyFont="1" applyFill="1" applyBorder="1" applyAlignment="1">
      <alignment horizontal="left" vertical="center" indent="1"/>
    </xf>
    <xf numFmtId="0" fontId="9" fillId="2" borderId="1" xfId="0" applyFont="1" applyFill="1" applyBorder="1" applyAlignment="1">
      <alignment horizontal="left" vertical="center" indent="1"/>
    </xf>
    <xf numFmtId="0" fontId="4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10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top"/>
    </xf>
    <xf numFmtId="164" fontId="13" fillId="0" borderId="5" xfId="0" applyNumberFormat="1" applyFont="1" applyBorder="1" applyAlignment="1">
      <alignment horizontal="right" vertical="center"/>
    </xf>
    <xf numFmtId="164" fontId="13" fillId="3" borderId="5" xfId="0" applyNumberFormat="1" applyFont="1" applyFill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165" fontId="5" fillId="0" borderId="4" xfId="0" applyNumberFormat="1" applyFont="1" applyBorder="1" applyAlignment="1">
      <alignment horizontal="right" vertical="center"/>
    </xf>
    <xf numFmtId="165" fontId="5" fillId="3" borderId="4" xfId="0" applyNumberFormat="1" applyFont="1" applyFill="1" applyBorder="1" applyAlignment="1">
      <alignment horizontal="right" vertical="center"/>
    </xf>
    <xf numFmtId="165" fontId="4" fillId="0" borderId="3" xfId="0" applyNumberFormat="1" applyFont="1" applyBorder="1" applyAlignment="1">
      <alignment horizontal="right" vertical="center"/>
    </xf>
    <xf numFmtId="164" fontId="4" fillId="0" borderId="7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164" fontId="14" fillId="0" borderId="8" xfId="0" applyNumberFormat="1" applyFont="1" applyBorder="1" applyAlignment="1">
      <alignment horizontal="right" vertical="center"/>
    </xf>
    <xf numFmtId="164" fontId="5" fillId="3" borderId="9" xfId="0" applyNumberFormat="1" applyFont="1" applyFill="1" applyBorder="1" applyAlignment="1">
      <alignment horizontal="right" vertical="center"/>
    </xf>
    <xf numFmtId="164" fontId="5" fillId="0" borderId="9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165" fontId="5" fillId="0" borderId="10" xfId="0" applyNumberFormat="1" applyFont="1" applyBorder="1" applyAlignment="1">
      <alignment horizontal="right" vertical="center"/>
    </xf>
    <xf numFmtId="164" fontId="13" fillId="0" borderId="11" xfId="0" applyNumberFormat="1" applyFont="1" applyBorder="1" applyAlignment="1">
      <alignment horizontal="right" vertical="center"/>
    </xf>
    <xf numFmtId="0" fontId="5" fillId="0" borderId="0" xfId="0" applyFont="1"/>
    <xf numFmtId="0" fontId="15" fillId="0" borderId="13" xfId="0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0" fontId="10" fillId="2" borderId="7" xfId="0" applyFont="1" applyFill="1" applyBorder="1" applyAlignment="1">
      <alignment horizontal="right"/>
    </xf>
    <xf numFmtId="0" fontId="10" fillId="2" borderId="6" xfId="0" applyFont="1" applyFill="1" applyBorder="1" applyAlignment="1">
      <alignment horizontal="right"/>
    </xf>
    <xf numFmtId="1" fontId="5" fillId="2" borderId="7" xfId="0" applyNumberFormat="1" applyFont="1" applyFill="1" applyBorder="1" applyAlignment="1">
      <alignment vertical="center"/>
    </xf>
    <xf numFmtId="0" fontId="4" fillId="0" borderId="0" xfId="0" applyFont="1"/>
    <xf numFmtId="0" fontId="5" fillId="4" borderId="0" xfId="0" applyFont="1" applyFill="1"/>
    <xf numFmtId="0" fontId="4" fillId="4" borderId="0" xfId="0" applyFont="1" applyFill="1"/>
    <xf numFmtId="0" fontId="5" fillId="5" borderId="0" xfId="0" applyFont="1" applyFill="1"/>
    <xf numFmtId="0" fontId="16" fillId="0" borderId="4" xfId="0" applyFont="1" applyBorder="1" applyAlignment="1">
      <alignment horizontal="right" vertical="center"/>
    </xf>
    <xf numFmtId="0" fontId="1" fillId="0" borderId="4" xfId="0" applyFont="1" applyBorder="1" applyAlignment="1" applyProtection="1">
      <alignment horizontal="right" vertical="center" wrapText="1"/>
      <protection locked="0"/>
    </xf>
    <xf numFmtId="0" fontId="5" fillId="6" borderId="0" xfId="0" applyFont="1" applyFill="1"/>
    <xf numFmtId="164" fontId="5" fillId="3" borderId="4" xfId="0" applyNumberFormat="1" applyFont="1" applyFill="1" applyBorder="1" applyAlignment="1">
      <alignment horizontal="right" vertical="center"/>
    </xf>
    <xf numFmtId="164" fontId="5" fillId="0" borderId="4" xfId="0" applyNumberFormat="1" applyFont="1" applyBorder="1" applyAlignment="1">
      <alignment horizontal="right" vertical="center"/>
    </xf>
    <xf numFmtId="164" fontId="4" fillId="0" borderId="3" xfId="0" applyNumberFormat="1" applyFont="1" applyBorder="1" applyAlignment="1">
      <alignment horizontal="right" vertical="center"/>
    </xf>
    <xf numFmtId="0" fontId="4" fillId="5" borderId="0" xfId="0" applyFont="1" applyFill="1"/>
    <xf numFmtId="164" fontId="17" fillId="0" borderId="12" xfId="0" applyNumberFormat="1" applyFont="1" applyBorder="1" applyAlignment="1" applyProtection="1">
      <alignment horizontal="right" vertical="center"/>
      <protection locked="0"/>
    </xf>
    <xf numFmtId="164" fontId="5" fillId="0" borderId="10" xfId="0" applyNumberFormat="1" applyFont="1" applyBorder="1" applyAlignment="1">
      <alignment horizontal="right" vertical="center"/>
    </xf>
    <xf numFmtId="164" fontId="17" fillId="3" borderId="0" xfId="0" applyNumberFormat="1" applyFont="1" applyFill="1" applyAlignment="1" applyProtection="1">
      <alignment horizontal="right" vertical="center"/>
      <protection locked="0"/>
    </xf>
    <xf numFmtId="164" fontId="17" fillId="0" borderId="0" xfId="0" applyNumberFormat="1" applyFont="1" applyAlignment="1" applyProtection="1">
      <alignment horizontal="right" vertical="center"/>
      <protection locked="0"/>
    </xf>
    <xf numFmtId="164" fontId="4" fillId="0" borderId="13" xfId="0" applyNumberFormat="1" applyFont="1" applyBorder="1" applyAlignment="1">
      <alignment horizontal="right" vertical="center"/>
    </xf>
    <xf numFmtId="0" fontId="4" fillId="6" borderId="0" xfId="0" applyFont="1" applyFill="1"/>
    <xf numFmtId="0" fontId="5" fillId="0" borderId="4" xfId="0" applyFont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164" fontId="17" fillId="2" borderId="6" xfId="0" applyNumberFormat="1" applyFont="1" applyFill="1" applyBorder="1" applyAlignment="1" applyProtection="1">
      <alignment vertical="center"/>
      <protection locked="0"/>
    </xf>
    <xf numFmtId="3" fontId="4" fillId="0" borderId="0" xfId="0" applyNumberFormat="1" applyFont="1"/>
    <xf numFmtId="0" fontId="5" fillId="0" borderId="0" xfId="0" applyFont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20" fillId="0" borderId="0" xfId="0" applyFont="1"/>
    <xf numFmtId="0" fontId="18" fillId="0" borderId="0" xfId="0" applyFont="1"/>
    <xf numFmtId="0" fontId="21" fillId="0" borderId="3" xfId="0" applyFont="1" applyBorder="1" applyAlignment="1">
      <alignment horizontal="right" vertical="center"/>
    </xf>
    <xf numFmtId="0" fontId="16" fillId="0" borderId="1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21" fillId="0" borderId="13" xfId="0" applyFont="1" applyBorder="1" applyAlignment="1">
      <alignment vertical="center"/>
    </xf>
    <xf numFmtId="0" fontId="15" fillId="0" borderId="1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5" fillId="0" borderId="0" xfId="0" applyNumberFormat="1" applyFont="1" applyAlignment="1" applyProtection="1">
      <alignment horizontal="center" vertical="center"/>
      <protection locked="0"/>
    </xf>
    <xf numFmtId="166" fontId="4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 indent="2"/>
    </xf>
    <xf numFmtId="0" fontId="1" fillId="0" borderId="4" xfId="0" applyFont="1" applyBorder="1" applyAlignment="1">
      <alignment horizontal="right" vertical="center" wrapText="1"/>
    </xf>
    <xf numFmtId="164" fontId="17" fillId="0" borderId="0" xfId="0" applyNumberFormat="1" applyFont="1" applyAlignment="1" applyProtection="1">
      <alignment vertical="center"/>
      <protection locked="0"/>
    </xf>
    <xf numFmtId="167" fontId="17" fillId="0" borderId="0" xfId="0" applyNumberFormat="1" applyFont="1" applyAlignment="1" applyProtection="1">
      <alignment vertical="center"/>
      <protection locked="0"/>
    </xf>
    <xf numFmtId="167" fontId="5" fillId="0" borderId="0" xfId="0" applyNumberFormat="1" applyFont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0" fontId="23" fillId="4" borderId="0" xfId="0" applyFont="1" applyFill="1"/>
    <xf numFmtId="164" fontId="5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164" fontId="5" fillId="0" borderId="8" xfId="0" applyNumberFormat="1" applyFont="1" applyBorder="1" applyAlignment="1">
      <alignment horizontal="right" vertical="center"/>
    </xf>
    <xf numFmtId="164" fontId="5" fillId="0" borderId="12" xfId="0" applyNumberFormat="1" applyFont="1" applyBorder="1" applyAlignment="1">
      <alignment horizontal="right" vertical="center"/>
    </xf>
    <xf numFmtId="164" fontId="5" fillId="3" borderId="0" xfId="0" applyNumberFormat="1" applyFont="1" applyFill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0" fontId="13" fillId="4" borderId="0" xfId="0" applyFont="1" applyFill="1"/>
    <xf numFmtId="9" fontId="17" fillId="4" borderId="0" xfId="0" applyNumberFormat="1" applyFont="1" applyFill="1" applyAlignment="1">
      <alignment horizontal="center"/>
    </xf>
    <xf numFmtId="0" fontId="13" fillId="5" borderId="0" xfId="0" applyFont="1" applyFill="1"/>
    <xf numFmtId="9" fontId="5" fillId="5" borderId="0" xfId="0" applyNumberFormat="1" applyFont="1" applyFill="1" applyAlignment="1">
      <alignment horizontal="center"/>
    </xf>
    <xf numFmtId="0" fontId="13" fillId="6" borderId="0" xfId="0" applyFont="1" applyFill="1"/>
    <xf numFmtId="0" fontId="1" fillId="0" borderId="3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5" fillId="0" borderId="13" xfId="0" applyFont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/>
    </xf>
    <xf numFmtId="3" fontId="4" fillId="4" borderId="0" xfId="0" applyNumberFormat="1" applyFont="1" applyFill="1" applyAlignment="1">
      <alignment vertical="center"/>
    </xf>
    <xf numFmtId="3" fontId="4" fillId="5" borderId="0" xfId="0" applyNumberFormat="1" applyFont="1" applyFill="1" applyAlignment="1">
      <alignment vertical="center"/>
    </xf>
    <xf numFmtId="0" fontId="2" fillId="0" borderId="0" xfId="0" applyFont="1" applyProtection="1">
      <protection locked="0"/>
    </xf>
    <xf numFmtId="0" fontId="6" fillId="0" borderId="3" xfId="0" applyFont="1" applyBorder="1" applyAlignment="1" applyProtection="1">
      <alignment horizontal="right" vertical="center" wrapText="1"/>
      <protection locked="0"/>
    </xf>
    <xf numFmtId="9" fontId="13" fillId="0" borderId="0" xfId="0" applyNumberFormat="1" applyFont="1"/>
    <xf numFmtId="169" fontId="24" fillId="0" borderId="6" xfId="0" applyNumberFormat="1" applyFont="1" applyBorder="1" applyAlignment="1">
      <alignment horizontal="center"/>
    </xf>
    <xf numFmtId="169" fontId="6" fillId="0" borderId="6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right" vertical="center"/>
    </xf>
    <xf numFmtId="164" fontId="5" fillId="3" borderId="5" xfId="0" applyNumberFormat="1" applyFont="1" applyFill="1" applyBorder="1" applyAlignment="1">
      <alignment horizontal="right" vertical="center"/>
    </xf>
    <xf numFmtId="164" fontId="4" fillId="0" borderId="6" xfId="0" applyNumberFormat="1" applyFont="1" applyBorder="1" applyAlignment="1">
      <alignment horizontal="right" vertical="center"/>
    </xf>
    <xf numFmtId="164" fontId="17" fillId="0" borderId="9" xfId="0" applyNumberFormat="1" applyFont="1" applyBorder="1" applyAlignment="1" applyProtection="1">
      <alignment horizontal="right" vertical="center"/>
      <protection locked="0"/>
    </xf>
    <xf numFmtId="164" fontId="17" fillId="3" borderId="9" xfId="0" applyNumberFormat="1" applyFont="1" applyFill="1" applyBorder="1" applyAlignment="1" applyProtection="1">
      <alignment horizontal="right" vertical="center"/>
      <protection locked="0"/>
    </xf>
    <xf numFmtId="164" fontId="17" fillId="0" borderId="8" xfId="0" applyNumberFormat="1" applyFont="1" applyBorder="1" applyAlignment="1" applyProtection="1">
      <alignment horizontal="right" vertical="center"/>
      <protection locked="0"/>
    </xf>
    <xf numFmtId="0" fontId="5" fillId="0" borderId="7" xfId="0" applyFont="1" applyBorder="1" applyAlignment="1">
      <alignment horizontal="right" wrapText="1"/>
    </xf>
    <xf numFmtId="3" fontId="4" fillId="0" borderId="0" xfId="0" applyNumberFormat="1" applyFont="1" applyAlignment="1">
      <alignment vertical="center"/>
    </xf>
    <xf numFmtId="164" fontId="5" fillId="0" borderId="11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right" wrapText="1"/>
    </xf>
    <xf numFmtId="0" fontId="21" fillId="0" borderId="13" xfId="0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0" fontId="5" fillId="7" borderId="0" xfId="0" applyFont="1" applyFill="1"/>
    <xf numFmtId="170" fontId="5" fillId="0" borderId="0" xfId="0" applyNumberFormat="1" applyFont="1"/>
    <xf numFmtId="0" fontId="4" fillId="7" borderId="0" xfId="0" applyFont="1" applyFill="1"/>
    <xf numFmtId="0" fontId="5" fillId="8" borderId="0" xfId="0" applyFont="1" applyFill="1"/>
    <xf numFmtId="0" fontId="4" fillId="8" borderId="0" xfId="0" applyFont="1" applyFill="1"/>
    <xf numFmtId="0" fontId="5" fillId="9" borderId="0" xfId="0" applyFont="1" applyFill="1"/>
    <xf numFmtId="0" fontId="4" fillId="9" borderId="0" xfId="0" applyFont="1" applyFill="1"/>
    <xf numFmtId="0" fontId="5" fillId="0" borderId="2" xfId="0" applyFont="1" applyBorder="1" applyAlignment="1">
      <alignment horizontal="right" wrapText="1"/>
    </xf>
    <xf numFmtId="0" fontId="4" fillId="2" borderId="8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0" borderId="14" xfId="0" applyFont="1" applyBorder="1" applyAlignment="1" applyProtection="1">
      <alignment horizontal="left" vertical="top" wrapText="1"/>
      <protection locked="0"/>
    </xf>
    <xf numFmtId="0" fontId="21" fillId="0" borderId="10" xfId="0" applyFont="1" applyBorder="1" applyAlignment="1">
      <alignment horizontal="right" vertical="center"/>
    </xf>
    <xf numFmtId="164" fontId="17" fillId="0" borderId="5" xfId="0" applyNumberFormat="1" applyFont="1" applyBorder="1" applyAlignment="1" applyProtection="1">
      <alignment horizontal="right" vertical="center"/>
      <protection locked="0"/>
    </xf>
    <xf numFmtId="164" fontId="17" fillId="10" borderId="5" xfId="0" applyNumberFormat="1" applyFont="1" applyFill="1" applyBorder="1" applyAlignment="1" applyProtection="1">
      <alignment horizontal="right" vertical="center"/>
      <protection locked="0"/>
    </xf>
    <xf numFmtId="164" fontId="17" fillId="10" borderId="0" xfId="0" applyNumberFormat="1" applyFont="1" applyFill="1" applyAlignment="1" applyProtection="1">
      <alignment horizontal="right" vertical="center"/>
      <protection locked="0"/>
    </xf>
    <xf numFmtId="164" fontId="17" fillId="0" borderId="11" xfId="0" applyNumberFormat="1" applyFont="1" applyBorder="1" applyAlignment="1" applyProtection="1">
      <alignment horizontal="right" vertical="center"/>
      <protection locked="0"/>
    </xf>
    <xf numFmtId="164" fontId="17" fillId="10" borderId="9" xfId="0" applyNumberFormat="1" applyFont="1" applyFill="1" applyBorder="1" applyAlignment="1" applyProtection="1">
      <alignment horizontal="right" vertical="center"/>
      <protection locked="0"/>
    </xf>
    <xf numFmtId="164" fontId="5" fillId="0" borderId="12" xfId="0" applyNumberFormat="1" applyFont="1" applyBorder="1" applyAlignment="1" applyProtection="1">
      <alignment horizontal="right" vertical="center"/>
      <protection locked="0"/>
    </xf>
    <xf numFmtId="164" fontId="5" fillId="0" borderId="11" xfId="0" applyNumberFormat="1" applyFont="1" applyBorder="1" applyAlignment="1" applyProtection="1">
      <alignment horizontal="right" vertical="center"/>
      <protection locked="0"/>
    </xf>
    <xf numFmtId="164" fontId="5" fillId="3" borderId="0" xfId="0" applyNumberFormat="1" applyFont="1" applyFill="1" applyAlignment="1" applyProtection="1">
      <alignment horizontal="right" vertical="center"/>
      <protection locked="0"/>
    </xf>
    <xf numFmtId="164" fontId="5" fillId="3" borderId="5" xfId="0" applyNumberFormat="1" applyFont="1" applyFill="1" applyBorder="1" applyAlignment="1" applyProtection="1">
      <alignment horizontal="right" vertical="center"/>
      <protection locked="0"/>
    </xf>
    <xf numFmtId="164" fontId="5" fillId="0" borderId="0" xfId="0" applyNumberFormat="1" applyFont="1" applyAlignment="1" applyProtection="1">
      <alignment horizontal="right" vertical="center"/>
      <protection locked="0"/>
    </xf>
    <xf numFmtId="164" fontId="5" fillId="0" borderId="5" xfId="0" applyNumberFormat="1" applyFont="1" applyBorder="1" applyAlignment="1" applyProtection="1">
      <alignment horizontal="right" vertical="center"/>
      <protection locked="0"/>
    </xf>
    <xf numFmtId="0" fontId="5" fillId="0" borderId="16" xfId="0" applyFont="1" applyBorder="1" applyAlignment="1">
      <alignment horizontal="right" wrapText="1"/>
    </xf>
    <xf numFmtId="167" fontId="17" fillId="2" borderId="5" xfId="0" applyNumberFormat="1" applyFont="1" applyFill="1" applyBorder="1" applyAlignment="1">
      <alignment horizontal="right" vertical="center"/>
    </xf>
    <xf numFmtId="0" fontId="14" fillId="2" borderId="5" xfId="0" applyFont="1" applyFill="1" applyBorder="1" applyAlignment="1">
      <alignment horizontal="right" vertical="center"/>
    </xf>
    <xf numFmtId="166" fontId="17" fillId="2" borderId="5" xfId="0" applyNumberFormat="1" applyFont="1" applyFill="1" applyBorder="1" applyAlignment="1">
      <alignment horizontal="right" vertical="center"/>
    </xf>
    <xf numFmtId="166" fontId="14" fillId="2" borderId="16" xfId="0" applyNumberFormat="1" applyFont="1" applyFill="1" applyBorder="1" applyAlignment="1">
      <alignment horizontal="right" vertical="center"/>
    </xf>
    <xf numFmtId="0" fontId="25" fillId="0" borderId="0" xfId="0" applyFont="1"/>
    <xf numFmtId="0" fontId="14" fillId="0" borderId="0" xfId="0" applyFont="1"/>
    <xf numFmtId="0" fontId="14" fillId="2" borderId="11" xfId="0" applyFont="1" applyFill="1" applyBorder="1" applyAlignment="1">
      <alignment vertical="center"/>
    </xf>
    <xf numFmtId="0" fontId="14" fillId="2" borderId="5" xfId="0" applyFont="1" applyFill="1" applyBorder="1" applyAlignment="1">
      <alignment vertical="center"/>
    </xf>
    <xf numFmtId="167" fontId="14" fillId="2" borderId="5" xfId="0" applyNumberFormat="1" applyFont="1" applyFill="1" applyBorder="1" applyAlignment="1">
      <alignment horizontal="right" vertical="center"/>
    </xf>
    <xf numFmtId="0" fontId="21" fillId="0" borderId="7" xfId="0" applyFont="1" applyBorder="1" applyAlignment="1">
      <alignment horizontal="center" vertical="center"/>
    </xf>
    <xf numFmtId="164" fontId="5" fillId="2" borderId="5" xfId="0" applyNumberFormat="1" applyFont="1" applyFill="1" applyBorder="1" applyAlignment="1">
      <alignment horizontal="right" vertical="center"/>
    </xf>
    <xf numFmtId="0" fontId="14" fillId="2" borderId="8" xfId="0" applyFont="1" applyFill="1" applyBorder="1" applyAlignment="1">
      <alignment vertical="center"/>
    </xf>
    <xf numFmtId="0" fontId="14" fillId="2" borderId="12" xfId="0" applyFont="1" applyFill="1" applyBorder="1" applyAlignment="1">
      <alignment vertical="center"/>
    </xf>
    <xf numFmtId="0" fontId="14" fillId="2" borderId="12" xfId="0" applyFont="1" applyFill="1" applyBorder="1" applyAlignment="1">
      <alignment horizontal="right" vertical="center"/>
    </xf>
    <xf numFmtId="171" fontId="14" fillId="2" borderId="9" xfId="0" applyNumberFormat="1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27" fillId="2" borderId="0" xfId="0" applyFont="1" applyFill="1" applyAlignment="1">
      <alignment horizontal="right" vertical="center"/>
    </xf>
    <xf numFmtId="0" fontId="28" fillId="2" borderId="0" xfId="0" applyFont="1" applyFill="1" applyAlignment="1">
      <alignment horizontal="right" vertical="center"/>
    </xf>
    <xf numFmtId="172" fontId="17" fillId="2" borderId="5" xfId="0" applyNumberFormat="1" applyFont="1" applyFill="1" applyBorder="1" applyAlignment="1">
      <alignment horizontal="right" vertical="center"/>
    </xf>
    <xf numFmtId="0" fontId="14" fillId="2" borderId="15" xfId="0" applyFont="1" applyFill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right" vertical="center"/>
    </xf>
    <xf numFmtId="0" fontId="14" fillId="2" borderId="16" xfId="0" applyFont="1" applyFill="1" applyBorder="1" applyAlignment="1">
      <alignment vertical="center"/>
    </xf>
    <xf numFmtId="0" fontId="1" fillId="0" borderId="14" xfId="0" applyFont="1" applyBorder="1" applyAlignment="1" applyProtection="1">
      <alignment horizontal="right" vertical="center"/>
      <protection locked="0"/>
    </xf>
    <xf numFmtId="0" fontId="5" fillId="0" borderId="15" xfId="0" applyFont="1" applyBorder="1" applyAlignment="1">
      <alignment horizontal="right" wrapText="1"/>
    </xf>
    <xf numFmtId="171" fontId="25" fillId="2" borderId="9" xfId="0" applyNumberFormat="1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173" fontId="17" fillId="2" borderId="5" xfId="0" applyNumberFormat="1" applyFont="1" applyFill="1" applyBorder="1" applyAlignment="1">
      <alignment horizontal="right" vertical="center"/>
    </xf>
    <xf numFmtId="174" fontId="5" fillId="2" borderId="5" xfId="0" applyNumberFormat="1" applyFont="1" applyFill="1" applyBorder="1" applyAlignment="1">
      <alignment horizontal="right" vertical="center"/>
    </xf>
    <xf numFmtId="168" fontId="27" fillId="2" borderId="5" xfId="0" applyNumberFormat="1" applyFont="1" applyFill="1" applyBorder="1" applyAlignment="1">
      <alignment horizontal="right" vertical="center"/>
    </xf>
    <xf numFmtId="166" fontId="5" fillId="2" borderId="5" xfId="0" applyNumberFormat="1" applyFont="1" applyFill="1" applyBorder="1" applyAlignment="1">
      <alignment horizontal="right" vertical="center"/>
    </xf>
    <xf numFmtId="0" fontId="21" fillId="0" borderId="0" xfId="0" applyFont="1"/>
    <xf numFmtId="0" fontId="21" fillId="0" borderId="13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0" fontId="4" fillId="0" borderId="10" xfId="0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10" fillId="0" borderId="0" xfId="0" applyFont="1" applyAlignment="1">
      <alignment horizontal="right"/>
    </xf>
    <xf numFmtId="0" fontId="6" fillId="0" borderId="10" xfId="0" applyFont="1" applyBorder="1" applyAlignment="1">
      <alignment horizontal="right" vertical="center" wrapText="1"/>
    </xf>
    <xf numFmtId="0" fontId="6" fillId="0" borderId="14" xfId="0" applyFont="1" applyBorder="1" applyAlignment="1">
      <alignment horizontal="right" vertical="center" wrapText="1"/>
    </xf>
    <xf numFmtId="1" fontId="4" fillId="0" borderId="14" xfId="0" applyNumberFormat="1" applyFont="1" applyBorder="1" applyAlignment="1">
      <alignment horizontal="right" vertical="center"/>
    </xf>
    <xf numFmtId="1" fontId="5" fillId="0" borderId="2" xfId="0" applyNumberFormat="1" applyFont="1" applyBorder="1" applyAlignment="1" applyProtection="1">
      <alignment horizontal="right" vertical="center"/>
      <protection locked="0"/>
    </xf>
    <xf numFmtId="0" fontId="15" fillId="0" borderId="0" xfId="0" applyFont="1"/>
    <xf numFmtId="0" fontId="11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22" fillId="0" borderId="0" xfId="0" applyFont="1" applyAlignment="1">
      <alignment horizontal="right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172" fontId="28" fillId="0" borderId="7" xfId="0" applyNumberFormat="1" applyFont="1" applyBorder="1" applyAlignment="1">
      <alignment vertical="center"/>
    </xf>
    <xf numFmtId="172" fontId="28" fillId="0" borderId="13" xfId="0" applyNumberFormat="1" applyFont="1" applyBorder="1" applyAlignment="1">
      <alignment vertical="center"/>
    </xf>
    <xf numFmtId="172" fontId="28" fillId="0" borderId="6" xfId="0" applyNumberFormat="1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172" fontId="28" fillId="0" borderId="3" xfId="0" applyNumberFormat="1" applyFont="1" applyBorder="1" applyAlignment="1">
      <alignment vertical="center"/>
    </xf>
    <xf numFmtId="3" fontId="4" fillId="4" borderId="0" xfId="0" applyNumberFormat="1" applyFont="1" applyFill="1"/>
    <xf numFmtId="3" fontId="4" fillId="5" borderId="0" xfId="0" applyNumberFormat="1" applyFont="1" applyFill="1"/>
    <xf numFmtId="3" fontId="4" fillId="6" borderId="0" xfId="0" applyNumberFormat="1" applyFont="1" applyFill="1"/>
    <xf numFmtId="0" fontId="1" fillId="0" borderId="4" xfId="0" applyFont="1" applyBorder="1" applyAlignment="1">
      <alignment horizontal="right" vertical="center"/>
    </xf>
    <xf numFmtId="172" fontId="5" fillId="0" borderId="5" xfId="0" applyNumberFormat="1" applyFont="1" applyBorder="1" applyAlignment="1">
      <alignment horizontal="right" vertical="center"/>
    </xf>
    <xf numFmtId="172" fontId="5" fillId="3" borderId="5" xfId="0" applyNumberFormat="1" applyFont="1" applyFill="1" applyBorder="1" applyAlignment="1">
      <alignment horizontal="right" vertical="center"/>
    </xf>
    <xf numFmtId="172" fontId="4" fillId="0" borderId="6" xfId="0" applyNumberFormat="1" applyFont="1" applyBorder="1" applyAlignment="1">
      <alignment horizontal="right" vertical="center"/>
    </xf>
    <xf numFmtId="0" fontId="4" fillId="0" borderId="0" xfId="0" applyFont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4" fillId="0" borderId="5" xfId="0" applyFont="1" applyBorder="1" applyAlignment="1">
      <alignment horizontal="right" wrapText="1"/>
    </xf>
    <xf numFmtId="0" fontId="5" fillId="4" borderId="0" xfId="0" applyFont="1" applyFill="1" applyAlignment="1">
      <alignment horizontal="right" wrapText="1"/>
    </xf>
    <xf numFmtId="0" fontId="5" fillId="5" borderId="0" xfId="0" applyFont="1" applyFill="1" applyAlignment="1">
      <alignment horizontal="right" wrapText="1"/>
    </xf>
    <xf numFmtId="0" fontId="5" fillId="6" borderId="0" xfId="0" applyFont="1" applyFill="1" applyAlignment="1">
      <alignment horizontal="right" wrapText="1"/>
    </xf>
    <xf numFmtId="172" fontId="5" fillId="0" borderId="11" xfId="0" applyNumberFormat="1" applyFont="1" applyBorder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0" fontId="5" fillId="0" borderId="7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170" fontId="5" fillId="0" borderId="4" xfId="0" applyNumberFormat="1" applyFont="1" applyBorder="1" applyAlignment="1">
      <alignment horizontal="right" vertical="center"/>
    </xf>
    <xf numFmtId="170" fontId="5" fillId="0" borderId="14" xfId="0" applyNumberFormat="1" applyFont="1" applyBorder="1" applyAlignment="1">
      <alignment horizontal="right" vertical="center"/>
    </xf>
    <xf numFmtId="0" fontId="5" fillId="3" borderId="13" xfId="0" applyFont="1" applyFill="1" applyBorder="1" applyAlignment="1">
      <alignment vertical="center"/>
    </xf>
    <xf numFmtId="0" fontId="1" fillId="0" borderId="13" xfId="0" applyFont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166" fontId="4" fillId="3" borderId="16" xfId="0" applyNumberFormat="1" applyFont="1" applyFill="1" applyBorder="1" applyAlignment="1">
      <alignment horizontal="right" vertical="center"/>
    </xf>
    <xf numFmtId="171" fontId="5" fillId="0" borderId="7" xfId="0" applyNumberFormat="1" applyFont="1" applyBorder="1" applyAlignment="1">
      <alignment vertical="center"/>
    </xf>
    <xf numFmtId="171" fontId="5" fillId="3" borderId="7" xfId="0" applyNumberFormat="1" applyFont="1" applyFill="1" applyBorder="1" applyAlignment="1">
      <alignment vertical="center"/>
    </xf>
    <xf numFmtId="171" fontId="5" fillId="0" borderId="13" xfId="0" applyNumberFormat="1" applyFont="1" applyBorder="1" applyAlignment="1">
      <alignment vertical="center"/>
    </xf>
    <xf numFmtId="171" fontId="5" fillId="3" borderId="15" xfId="0" applyNumberFormat="1" applyFont="1" applyFill="1" applyBorder="1" applyAlignment="1">
      <alignment vertical="center"/>
    </xf>
    <xf numFmtId="175" fontId="5" fillId="0" borderId="0" xfId="0" applyNumberFormat="1" applyFont="1"/>
    <xf numFmtId="164" fontId="5" fillId="0" borderId="7" xfId="0" applyNumberFormat="1" applyFont="1" applyBorder="1" applyAlignment="1">
      <alignment horizontal="right" vertical="center"/>
    </xf>
    <xf numFmtId="164" fontId="5" fillId="0" borderId="13" xfId="0" applyNumberFormat="1" applyFont="1" applyBorder="1" applyAlignment="1">
      <alignment horizontal="right" vertical="center"/>
    </xf>
    <xf numFmtId="164" fontId="5" fillId="0" borderId="6" xfId="0" applyNumberFormat="1" applyFont="1" applyBorder="1" applyAlignment="1">
      <alignment horizontal="right" vertical="center"/>
    </xf>
    <xf numFmtId="164" fontId="4" fillId="3" borderId="7" xfId="0" applyNumberFormat="1" applyFont="1" applyFill="1" applyBorder="1" applyAlignment="1">
      <alignment horizontal="right" vertical="center"/>
    </xf>
    <xf numFmtId="164" fontId="4" fillId="3" borderId="13" xfId="0" applyNumberFormat="1" applyFont="1" applyFill="1" applyBorder="1" applyAlignment="1">
      <alignment horizontal="right" vertical="center"/>
    </xf>
    <xf numFmtId="164" fontId="4" fillId="3" borderId="6" xfId="0" applyNumberFormat="1" applyFont="1" applyFill="1" applyBorder="1" applyAlignment="1">
      <alignment horizontal="right" vertical="center"/>
    </xf>
    <xf numFmtId="0" fontId="5" fillId="0" borderId="13" xfId="0" applyFont="1" applyBorder="1" applyAlignment="1">
      <alignment horizontal="right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/>
    </xf>
    <xf numFmtId="164" fontId="17" fillId="0" borderId="7" xfId="0" applyNumberFormat="1" applyFont="1" applyBorder="1" applyAlignment="1" applyProtection="1">
      <alignment horizontal="right" vertical="center"/>
      <protection locked="0"/>
    </xf>
    <xf numFmtId="164" fontId="17" fillId="0" borderId="13" xfId="0" applyNumberFormat="1" applyFont="1" applyBorder="1" applyAlignment="1" applyProtection="1">
      <alignment horizontal="right" vertical="center"/>
      <protection locked="0"/>
    </xf>
    <xf numFmtId="164" fontId="17" fillId="0" borderId="6" xfId="0" applyNumberFormat="1" applyFont="1" applyBorder="1" applyAlignment="1" applyProtection="1">
      <alignment horizontal="right" vertical="center"/>
      <protection locked="0"/>
    </xf>
    <xf numFmtId="168" fontId="1" fillId="0" borderId="3" xfId="0" applyNumberFormat="1" applyFont="1" applyBorder="1" applyAlignment="1">
      <alignment horizontal="right" vertical="center"/>
    </xf>
    <xf numFmtId="168" fontId="10" fillId="0" borderId="3" xfId="0" applyNumberFormat="1" applyFont="1" applyBorder="1" applyAlignment="1">
      <alignment horizontal="right" vertical="center"/>
    </xf>
    <xf numFmtId="168" fontId="10" fillId="3" borderId="3" xfId="0" applyNumberFormat="1" applyFont="1" applyFill="1" applyBorder="1" applyAlignment="1">
      <alignment horizontal="right" vertical="center"/>
    </xf>
    <xf numFmtId="168" fontId="1" fillId="3" borderId="3" xfId="0" applyNumberFormat="1" applyFont="1" applyFill="1" applyBorder="1" applyAlignment="1">
      <alignment horizontal="right" vertical="center"/>
    </xf>
    <xf numFmtId="168" fontId="10" fillId="3" borderId="14" xfId="0" applyNumberFormat="1" applyFont="1" applyFill="1" applyBorder="1" applyAlignment="1">
      <alignment horizontal="right" vertical="center"/>
    </xf>
    <xf numFmtId="168" fontId="1" fillId="3" borderId="14" xfId="0" applyNumberFormat="1" applyFont="1" applyFill="1" applyBorder="1" applyAlignment="1">
      <alignment horizontal="right" vertical="center"/>
    </xf>
    <xf numFmtId="167" fontId="17" fillId="0" borderId="7" xfId="0" applyNumberFormat="1" applyFont="1" applyBorder="1" applyAlignment="1" applyProtection="1">
      <alignment horizontal="right" vertical="center"/>
      <protection locked="0"/>
    </xf>
    <xf numFmtId="167" fontId="17" fillId="0" borderId="13" xfId="0" applyNumberFormat="1" applyFont="1" applyBorder="1" applyAlignment="1" applyProtection="1">
      <alignment horizontal="right" vertical="center"/>
      <protection locked="0"/>
    </xf>
    <xf numFmtId="167" fontId="17" fillId="0" borderId="6" xfId="0" applyNumberFormat="1" applyFont="1" applyBorder="1" applyAlignment="1" applyProtection="1">
      <alignment horizontal="right" vertical="center"/>
      <protection locked="0"/>
    </xf>
    <xf numFmtId="176" fontId="4" fillId="0" borderId="7" xfId="0" applyNumberFormat="1" applyFont="1" applyBorder="1" applyAlignment="1" applyProtection="1">
      <alignment horizontal="right" vertical="center"/>
      <protection locked="0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6" xfId="0" applyNumberFormat="1" applyFont="1" applyBorder="1" applyAlignment="1" applyProtection="1">
      <alignment horizontal="right" vertical="center"/>
      <protection locked="0"/>
    </xf>
    <xf numFmtId="176" fontId="4" fillId="0" borderId="3" xfId="0" applyNumberFormat="1" applyFont="1" applyBorder="1" applyAlignment="1">
      <alignment horizontal="right" vertical="center"/>
    </xf>
    <xf numFmtId="170" fontId="5" fillId="0" borderId="10" xfId="0" applyNumberFormat="1" applyFont="1" applyBorder="1" applyAlignment="1">
      <alignment horizontal="right" vertical="center"/>
    </xf>
    <xf numFmtId="170" fontId="4" fillId="0" borderId="13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5" fillId="3" borderId="4" xfId="0" applyFont="1" applyFill="1" applyBorder="1" applyAlignment="1">
      <alignment vertical="center" wrapText="1"/>
    </xf>
    <xf numFmtId="171" fontId="5" fillId="2" borderId="9" xfId="0" applyNumberFormat="1" applyFont="1" applyFill="1" applyBorder="1" applyAlignment="1">
      <alignment vertical="center"/>
    </xf>
    <xf numFmtId="0" fontId="5" fillId="0" borderId="0" xfId="0" applyFont="1" applyAlignment="1">
      <alignment horizontal="right"/>
    </xf>
    <xf numFmtId="0" fontId="13" fillId="2" borderId="12" xfId="0" applyFont="1" applyFill="1" applyBorder="1" applyAlignment="1">
      <alignment horizontal="right" vertical="center"/>
    </xf>
    <xf numFmtId="0" fontId="13" fillId="2" borderId="2" xfId="0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168" fontId="10" fillId="2" borderId="0" xfId="0" applyNumberFormat="1" applyFont="1" applyFill="1" applyAlignment="1">
      <alignment horizontal="right" vertical="center"/>
    </xf>
    <xf numFmtId="0" fontId="4" fillId="0" borderId="7" xfId="0" applyFont="1" applyBorder="1" applyAlignment="1">
      <alignment horizontal="right" wrapText="1"/>
    </xf>
    <xf numFmtId="166" fontId="17" fillId="2" borderId="5" xfId="0" applyNumberFormat="1" applyFont="1" applyFill="1" applyBorder="1" applyAlignment="1" applyProtection="1">
      <alignment horizontal="right" vertical="center"/>
      <protection locked="0"/>
    </xf>
    <xf numFmtId="0" fontId="5" fillId="2" borderId="8" xfId="0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165" fontId="5" fillId="0" borderId="0" xfId="0" applyNumberFormat="1" applyFont="1" applyAlignment="1">
      <alignment horizontal="right" vertical="center"/>
    </xf>
    <xf numFmtId="165" fontId="5" fillId="3" borderId="0" xfId="0" applyNumberFormat="1" applyFont="1" applyFill="1" applyAlignment="1">
      <alignment horizontal="right" vertical="center"/>
    </xf>
    <xf numFmtId="170" fontId="4" fillId="0" borderId="7" xfId="0" applyNumberFormat="1" applyFont="1" applyBorder="1" applyAlignment="1">
      <alignment horizontal="right" vertical="center"/>
    </xf>
    <xf numFmtId="174" fontId="17" fillId="2" borderId="5" xfId="0" applyNumberFormat="1" applyFont="1" applyFill="1" applyBorder="1" applyAlignment="1" applyProtection="1">
      <alignment horizontal="right" vertical="center"/>
      <protection locked="0"/>
    </xf>
    <xf numFmtId="0" fontId="5" fillId="2" borderId="5" xfId="0" applyFont="1" applyFill="1" applyBorder="1" applyAlignment="1">
      <alignment horizontal="right" vertical="center"/>
    </xf>
    <xf numFmtId="177" fontId="5" fillId="2" borderId="5" xfId="0" applyNumberFormat="1" applyFont="1" applyFill="1" applyBorder="1" applyAlignment="1">
      <alignment horizontal="right" vertical="center"/>
    </xf>
    <xf numFmtId="172" fontId="5" fillId="0" borderId="9" xfId="0" applyNumberFormat="1" applyFont="1" applyBorder="1" applyAlignment="1">
      <alignment horizontal="right" vertical="center"/>
    </xf>
    <xf numFmtId="172" fontId="5" fillId="3" borderId="9" xfId="0" applyNumberFormat="1" applyFont="1" applyFill="1" applyBorder="1" applyAlignment="1">
      <alignment horizontal="right" vertical="center"/>
    </xf>
    <xf numFmtId="172" fontId="4" fillId="0" borderId="7" xfId="0" applyNumberFormat="1" applyFont="1" applyBorder="1" applyAlignment="1">
      <alignment horizontal="right" vertical="center"/>
    </xf>
    <xf numFmtId="0" fontId="5" fillId="0" borderId="4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72" fontId="5" fillId="0" borderId="8" xfId="0" applyNumberFormat="1" applyFont="1" applyBorder="1" applyAlignment="1">
      <alignment horizontal="right" vertical="center"/>
    </xf>
    <xf numFmtId="165" fontId="5" fillId="0" borderId="12" xfId="0" applyNumberFormat="1" applyFont="1" applyBorder="1" applyAlignment="1">
      <alignment horizontal="right" vertical="center"/>
    </xf>
    <xf numFmtId="171" fontId="4" fillId="0" borderId="3" xfId="0" applyNumberFormat="1" applyFont="1" applyBorder="1" applyAlignment="1">
      <alignment vertical="center"/>
    </xf>
    <xf numFmtId="171" fontId="5" fillId="0" borderId="14" xfId="0" applyNumberFormat="1" applyFont="1" applyBorder="1" applyAlignment="1">
      <alignment vertical="center"/>
    </xf>
    <xf numFmtId="0" fontId="5" fillId="0" borderId="7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/>
    </xf>
    <xf numFmtId="0" fontId="10" fillId="0" borderId="3" xfId="0" applyFont="1" applyBorder="1" applyAlignment="1">
      <alignment horizontal="right" vertical="center"/>
    </xf>
    <xf numFmtId="171" fontId="5" fillId="0" borderId="7" xfId="0" applyNumberFormat="1" applyFont="1" applyBorder="1" applyAlignment="1">
      <alignment horizontal="left" vertical="center"/>
    </xf>
    <xf numFmtId="166" fontId="17" fillId="0" borderId="6" xfId="0" applyNumberFormat="1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166" fontId="5" fillId="0" borderId="16" xfId="0" applyNumberFormat="1" applyFont="1" applyBorder="1" applyAlignment="1">
      <alignment horizontal="right" vertical="center"/>
    </xf>
    <xf numFmtId="0" fontId="5" fillId="0" borderId="7" xfId="0" applyFont="1" applyBorder="1"/>
    <xf numFmtId="0" fontId="1" fillId="0" borderId="6" xfId="0" applyFont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right" wrapText="1"/>
      <protection locked="0"/>
    </xf>
    <xf numFmtId="172" fontId="5" fillId="0" borderId="0" xfId="0" applyNumberFormat="1" applyFont="1" applyAlignment="1" applyProtection="1">
      <alignment horizontal="right" vertical="center"/>
      <protection locked="0"/>
    </xf>
    <xf numFmtId="172" fontId="5" fillId="3" borderId="0" xfId="0" applyNumberFormat="1" applyFont="1" applyFill="1" applyAlignment="1" applyProtection="1">
      <alignment horizontal="right" vertical="center"/>
      <protection locked="0"/>
    </xf>
    <xf numFmtId="172" fontId="4" fillId="0" borderId="13" xfId="0" applyNumberFormat="1" applyFont="1" applyBorder="1" applyAlignment="1" applyProtection="1">
      <alignment horizontal="right" vertical="center"/>
      <protection locked="0"/>
    </xf>
    <xf numFmtId="172" fontId="5" fillId="0" borderId="12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>
      <alignment horizontal="center"/>
    </xf>
    <xf numFmtId="0" fontId="10" fillId="0" borderId="6" xfId="0" applyFont="1" applyBorder="1" applyAlignment="1">
      <alignment horizontal="right" vertical="center" wrapText="1"/>
    </xf>
    <xf numFmtId="0" fontId="10" fillId="0" borderId="13" xfId="0" applyFont="1" applyBorder="1" applyAlignment="1">
      <alignment horizontal="right" vertical="center" wrapText="1"/>
    </xf>
    <xf numFmtId="170" fontId="5" fillId="0" borderId="13" xfId="0" applyNumberFormat="1" applyFont="1" applyBorder="1" applyAlignment="1">
      <alignment horizontal="right" vertical="center"/>
    </xf>
    <xf numFmtId="0" fontId="21" fillId="0" borderId="0" xfId="0" applyFont="1" applyAlignment="1">
      <alignment horizontal="right"/>
    </xf>
    <xf numFmtId="0" fontId="4" fillId="0" borderId="0" xfId="0" applyFont="1" applyAlignment="1">
      <alignment horizontal="right" vertical="center" wrapText="1"/>
    </xf>
    <xf numFmtId="0" fontId="5" fillId="10" borderId="4" xfId="0" applyFont="1" applyFill="1" applyBorder="1" applyAlignment="1">
      <alignment vertical="center" wrapText="1"/>
    </xf>
    <xf numFmtId="3" fontId="5" fillId="0" borderId="0" xfId="0" applyNumberFormat="1" applyFont="1"/>
    <xf numFmtId="0" fontId="5" fillId="0" borderId="6" xfId="0" applyFont="1" applyBorder="1" applyAlignment="1">
      <alignment horizontal="right" wrapText="1"/>
    </xf>
    <xf numFmtId="172" fontId="4" fillId="0" borderId="13" xfId="0" applyNumberFormat="1" applyFont="1" applyBorder="1" applyAlignment="1">
      <alignment horizontal="right" vertical="center"/>
    </xf>
    <xf numFmtId="164" fontId="5" fillId="10" borderId="0" xfId="0" applyNumberFormat="1" applyFont="1" applyFill="1" applyAlignment="1">
      <alignment horizontal="right" vertical="center"/>
    </xf>
    <xf numFmtId="172" fontId="5" fillId="0" borderId="0" xfId="0" applyNumberFormat="1" applyFont="1" applyAlignment="1">
      <alignment horizontal="right" vertical="center"/>
    </xf>
    <xf numFmtId="172" fontId="5" fillId="3" borderId="0" xfId="0" applyNumberFormat="1" applyFont="1" applyFill="1" applyAlignment="1">
      <alignment horizontal="right" vertical="center"/>
    </xf>
    <xf numFmtId="172" fontId="5" fillId="10" borderId="0" xfId="0" applyNumberFormat="1" applyFont="1" applyFill="1" applyAlignment="1">
      <alignment horizontal="right" vertical="center"/>
    </xf>
    <xf numFmtId="172" fontId="5" fillId="10" borderId="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172" fontId="5" fillId="0" borderId="13" xfId="0" applyNumberFormat="1" applyFont="1" applyBorder="1" applyAlignment="1">
      <alignment horizontal="right" vertical="center"/>
    </xf>
    <xf numFmtId="172" fontId="5" fillId="0" borderId="6" xfId="0" applyNumberFormat="1" applyFont="1" applyBorder="1" applyAlignment="1">
      <alignment horizontal="right" vertical="center"/>
    </xf>
    <xf numFmtId="0" fontId="10" fillId="0" borderId="0" xfId="0" applyFont="1" applyAlignment="1">
      <alignment horizontal="right" wrapText="1"/>
    </xf>
    <xf numFmtId="172" fontId="5" fillId="0" borderId="12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170" fontId="4" fillId="0" borderId="0" xfId="0" applyNumberFormat="1" applyFont="1" applyAlignment="1">
      <alignment horizontal="right" vertical="center"/>
    </xf>
    <xf numFmtId="0" fontId="13" fillId="0" borderId="8" xfId="0" applyFont="1" applyBorder="1"/>
    <xf numFmtId="0" fontId="1" fillId="0" borderId="9" xfId="0" applyFont="1" applyBorder="1"/>
    <xf numFmtId="0" fontId="29" fillId="0" borderId="0" xfId="0" applyFont="1" applyAlignment="1">
      <alignment horizontal="left" vertical="center"/>
    </xf>
    <xf numFmtId="0" fontId="29" fillId="0" borderId="13" xfId="0" applyFont="1" applyBorder="1" applyAlignment="1">
      <alignment horizontal="left" vertical="center"/>
    </xf>
    <xf numFmtId="171" fontId="29" fillId="0" borderId="8" xfId="0" applyNumberFormat="1" applyFont="1" applyBorder="1" applyAlignment="1">
      <alignment horizontal="left" vertical="center"/>
    </xf>
    <xf numFmtId="0" fontId="30" fillId="0" borderId="12" xfId="0" applyFont="1" applyBorder="1" applyAlignment="1">
      <alignment vertical="center"/>
    </xf>
    <xf numFmtId="0" fontId="29" fillId="0" borderId="12" xfId="0" applyFont="1" applyBorder="1" applyAlignment="1">
      <alignment horizontal="center" vertical="center"/>
    </xf>
    <xf numFmtId="171" fontId="29" fillId="0" borderId="9" xfId="0" applyNumberFormat="1" applyFont="1" applyBorder="1" applyAlignment="1">
      <alignment horizontal="left" vertical="center"/>
    </xf>
    <xf numFmtId="0" fontId="29" fillId="0" borderId="12" xfId="0" applyFont="1" applyBorder="1" applyAlignment="1">
      <alignment horizontal="left" vertical="center"/>
    </xf>
    <xf numFmtId="171" fontId="29" fillId="0" borderId="15" xfId="0" applyNumberFormat="1" applyFont="1" applyBorder="1" applyAlignment="1">
      <alignment horizontal="left" vertical="center"/>
    </xf>
    <xf numFmtId="0" fontId="29" fillId="0" borderId="2" xfId="0" applyFont="1" applyBorder="1" applyAlignment="1">
      <alignment horizontal="left" vertical="center"/>
    </xf>
    <xf numFmtId="171" fontId="29" fillId="0" borderId="7" xfId="0" applyNumberFormat="1" applyFont="1" applyBorder="1" applyAlignment="1">
      <alignment horizontal="left" vertical="center"/>
    </xf>
    <xf numFmtId="171" fontId="29" fillId="0" borderId="0" xfId="0" applyNumberFormat="1" applyFont="1" applyAlignment="1">
      <alignment horizontal="left" vertical="center"/>
    </xf>
    <xf numFmtId="0" fontId="29" fillId="0" borderId="0" xfId="0" applyFont="1" applyAlignment="1">
      <alignment vertical="center"/>
    </xf>
    <xf numFmtId="0" fontId="29" fillId="0" borderId="12" xfId="0" applyFont="1" applyBorder="1" applyAlignment="1">
      <alignment vertical="center"/>
    </xf>
    <xf numFmtId="0" fontId="29" fillId="0" borderId="2" xfId="0" applyFont="1" applyBorder="1" applyAlignment="1">
      <alignment vertical="center"/>
    </xf>
    <xf numFmtId="0" fontId="29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171" fontId="29" fillId="3" borderId="7" xfId="0" applyNumberFormat="1" applyFont="1" applyFill="1" applyBorder="1" applyAlignment="1">
      <alignment horizontal="left" vertical="center"/>
    </xf>
    <xf numFmtId="0" fontId="30" fillId="3" borderId="13" xfId="0" applyFont="1" applyFill="1" applyBorder="1" applyAlignment="1">
      <alignment horizontal="left" vertical="center"/>
    </xf>
    <xf numFmtId="0" fontId="30" fillId="3" borderId="13" xfId="0" applyFont="1" applyFill="1" applyBorder="1" applyAlignment="1">
      <alignment vertical="center"/>
    </xf>
    <xf numFmtId="0" fontId="10" fillId="0" borderId="10" xfId="0" applyFont="1" applyBorder="1" applyAlignment="1">
      <alignment horizontal="right"/>
    </xf>
    <xf numFmtId="0" fontId="10" fillId="0" borderId="10" xfId="0" applyFont="1" applyBorder="1" applyAlignment="1">
      <alignment horizontal="right" vertical="center"/>
    </xf>
    <xf numFmtId="0" fontId="29" fillId="0" borderId="10" xfId="0" applyFont="1" applyBorder="1" applyAlignment="1">
      <alignment vertical="center"/>
    </xf>
    <xf numFmtId="3" fontId="29" fillId="0" borderId="4" xfId="0" applyNumberFormat="1" applyFont="1" applyBorder="1" applyAlignment="1">
      <alignment vertical="center"/>
    </xf>
    <xf numFmtId="3" fontId="29" fillId="0" borderId="10" xfId="0" applyNumberFormat="1" applyFont="1" applyBorder="1" applyAlignment="1">
      <alignment vertical="center"/>
    </xf>
    <xf numFmtId="0" fontId="29" fillId="0" borderId="4" xfId="0" applyFont="1" applyBorder="1" applyAlignment="1">
      <alignment vertical="center"/>
    </xf>
    <xf numFmtId="3" fontId="29" fillId="0" borderId="14" xfId="0" applyNumberFormat="1" applyFont="1" applyBorder="1" applyAlignment="1">
      <alignment vertical="center"/>
    </xf>
    <xf numFmtId="0" fontId="13" fillId="0" borderId="11" xfId="0" applyFont="1" applyBorder="1"/>
    <xf numFmtId="0" fontId="29" fillId="0" borderId="12" xfId="0" applyFont="1" applyBorder="1" applyAlignment="1">
      <alignment horizontal="right" vertical="center"/>
    </xf>
    <xf numFmtId="164" fontId="31" fillId="0" borderId="0" xfId="0" applyNumberFormat="1" applyFont="1" applyAlignment="1">
      <alignment horizontal="right" vertical="center"/>
    </xf>
    <xf numFmtId="164" fontId="31" fillId="0" borderId="12" xfId="0" applyNumberFormat="1" applyFont="1" applyBorder="1" applyAlignment="1">
      <alignment horizontal="right" vertical="center"/>
    </xf>
    <xf numFmtId="164" fontId="29" fillId="0" borderId="2" xfId="0" applyNumberFormat="1" applyFont="1" applyBorder="1" applyAlignment="1">
      <alignment horizontal="right" vertical="center"/>
    </xf>
    <xf numFmtId="164" fontId="31" fillId="0" borderId="7" xfId="0" applyNumberFormat="1" applyFont="1" applyBorder="1" applyAlignment="1">
      <alignment horizontal="right" vertical="center"/>
    </xf>
    <xf numFmtId="164" fontId="31" fillId="0" borderId="13" xfId="0" applyNumberFormat="1" applyFont="1" applyBorder="1" applyAlignment="1">
      <alignment horizontal="right" vertical="center"/>
    </xf>
    <xf numFmtId="164" fontId="31" fillId="0" borderId="6" xfId="0" applyNumberFormat="1" applyFont="1" applyBorder="1" applyAlignment="1">
      <alignment horizontal="right" vertical="center"/>
    </xf>
    <xf numFmtId="164" fontId="29" fillId="0" borderId="3" xfId="0" applyNumberFormat="1" applyFont="1" applyBorder="1" applyAlignment="1">
      <alignment horizontal="right" vertical="center"/>
    </xf>
    <xf numFmtId="164" fontId="29" fillId="0" borderId="0" xfId="0" applyNumberFormat="1" applyFont="1" applyAlignment="1">
      <alignment horizontal="right" vertical="center"/>
    </xf>
    <xf numFmtId="164" fontId="29" fillId="0" borderId="13" xfId="0" applyNumberFormat="1" applyFont="1" applyBorder="1" applyAlignment="1">
      <alignment horizontal="right" vertical="center"/>
    </xf>
    <xf numFmtId="164" fontId="31" fillId="0" borderId="2" xfId="0" applyNumberFormat="1" applyFont="1" applyBorder="1" applyAlignment="1">
      <alignment horizontal="right" vertical="center"/>
    </xf>
    <xf numFmtId="164" fontId="29" fillId="0" borderId="14" xfId="0" applyNumberFormat="1" applyFont="1" applyBorder="1" applyAlignment="1">
      <alignment horizontal="right" vertical="center"/>
    </xf>
    <xf numFmtId="167" fontId="29" fillId="0" borderId="11" xfId="0" applyNumberFormat="1" applyFont="1" applyBorder="1" applyAlignment="1">
      <alignment horizontal="right" vertical="center"/>
    </xf>
    <xf numFmtId="167" fontId="29" fillId="0" borderId="16" xfId="0" applyNumberFormat="1" applyFont="1" applyBorder="1" applyAlignment="1">
      <alignment horizontal="right" vertical="center"/>
    </xf>
    <xf numFmtId="167" fontId="30" fillId="3" borderId="6" xfId="0" applyNumberFormat="1" applyFont="1" applyFill="1" applyBorder="1" applyAlignment="1">
      <alignment horizontal="right" vertical="center"/>
    </xf>
    <xf numFmtId="167" fontId="31" fillId="0" borderId="0" xfId="0" applyNumberFormat="1" applyFont="1" applyAlignment="1">
      <alignment horizontal="right" vertical="center"/>
    </xf>
    <xf numFmtId="176" fontId="29" fillId="0" borderId="12" xfId="0" applyNumberFormat="1" applyFont="1" applyBorder="1" applyAlignment="1">
      <alignment horizontal="right"/>
    </xf>
    <xf numFmtId="176" fontId="1" fillId="0" borderId="0" xfId="0" applyNumberFormat="1" applyFont="1" applyAlignment="1">
      <alignment horizontal="right"/>
    </xf>
    <xf numFmtId="168" fontId="1" fillId="0" borderId="4" xfId="0" applyNumberFormat="1" applyFont="1" applyBorder="1" applyAlignment="1">
      <alignment horizontal="right"/>
    </xf>
    <xf numFmtId="168" fontId="10" fillId="0" borderId="10" xfId="0" applyNumberFormat="1" applyFont="1" applyBorder="1" applyAlignment="1">
      <alignment horizontal="right" vertical="center"/>
    </xf>
    <xf numFmtId="168" fontId="10" fillId="0" borderId="4" xfId="0" applyNumberFormat="1" applyFont="1" applyBorder="1" applyAlignment="1">
      <alignment horizontal="right" vertical="center"/>
    </xf>
    <xf numFmtId="168" fontId="10" fillId="0" borderId="14" xfId="0" applyNumberFormat="1" applyFont="1" applyBorder="1" applyAlignment="1">
      <alignment horizontal="right" vertical="center"/>
    </xf>
    <xf numFmtId="168" fontId="29" fillId="0" borderId="10" xfId="0" applyNumberFormat="1" applyFont="1" applyBorder="1" applyAlignment="1">
      <alignment horizontal="right"/>
    </xf>
    <xf numFmtId="168" fontId="29" fillId="0" borderId="4" xfId="0" applyNumberFormat="1" applyFont="1" applyBorder="1" applyAlignment="1">
      <alignment horizontal="right"/>
    </xf>
    <xf numFmtId="0" fontId="32" fillId="0" borderId="0" xfId="0" applyFont="1"/>
    <xf numFmtId="0" fontId="32" fillId="0" borderId="0" xfId="0" applyFont="1" applyAlignment="1">
      <alignment vertical="center"/>
    </xf>
    <xf numFmtId="6" fontId="15" fillId="0" borderId="6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vertical="center"/>
    </xf>
    <xf numFmtId="170" fontId="4" fillId="0" borderId="6" xfId="0" applyNumberFormat="1" applyFont="1" applyBorder="1" applyAlignment="1">
      <alignment vertical="center"/>
    </xf>
    <xf numFmtId="0" fontId="32" fillId="0" borderId="12" xfId="0" applyFont="1" applyBorder="1"/>
    <xf numFmtId="0" fontId="33" fillId="0" borderId="0" xfId="0" applyFont="1" applyAlignment="1">
      <alignment vertical="center"/>
    </xf>
    <xf numFmtId="0" fontId="34" fillId="0" borderId="7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1" fontId="5" fillId="0" borderId="15" xfId="0" applyNumberFormat="1" applyFont="1" applyBorder="1" applyAlignment="1">
      <alignment horizontal="right" vertical="center" wrapText="1"/>
    </xf>
    <xf numFmtId="1" fontId="5" fillId="0" borderId="2" xfId="0" applyNumberFormat="1" applyFont="1" applyBorder="1" applyAlignment="1">
      <alignment horizontal="right" vertical="center" wrapText="1"/>
    </xf>
    <xf numFmtId="1" fontId="5" fillId="0" borderId="16" xfId="0" applyNumberFormat="1" applyFont="1" applyBorder="1" applyAlignment="1">
      <alignment horizontal="right" vertical="center" wrapText="1"/>
    </xf>
    <xf numFmtId="6" fontId="15" fillId="0" borderId="6" xfId="0" applyNumberFormat="1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170" fontId="35" fillId="0" borderId="0" xfId="0" applyNumberFormat="1" applyFont="1" applyAlignment="1">
      <alignment horizontal="right" vertical="center"/>
    </xf>
    <xf numFmtId="0" fontId="35" fillId="0" borderId="2" xfId="0" applyFont="1" applyBorder="1" applyAlignment="1">
      <alignment vertical="center"/>
    </xf>
    <xf numFmtId="169" fontId="35" fillId="0" borderId="0" xfId="0" applyNumberFormat="1" applyFont="1" applyAlignment="1">
      <alignment vertical="center"/>
    </xf>
    <xf numFmtId="0" fontId="32" fillId="0" borderId="12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32" fillId="0" borderId="12" xfId="0" applyFont="1" applyBorder="1" applyAlignment="1">
      <alignment vertical="center" wrapText="1"/>
    </xf>
    <xf numFmtId="0" fontId="1" fillId="0" borderId="10" xfId="0" applyFont="1" applyBorder="1" applyAlignment="1">
      <alignment horizontal="right" vertical="center"/>
    </xf>
    <xf numFmtId="0" fontId="32" fillId="0" borderId="2" xfId="0" applyFont="1" applyBorder="1"/>
    <xf numFmtId="0" fontId="32" fillId="0" borderId="15" xfId="0" applyFont="1" applyBorder="1"/>
    <xf numFmtId="0" fontId="37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2" fillId="0" borderId="0" xfId="0" applyFont="1" applyAlignment="1">
      <alignment horizontal="right" vertical="top"/>
    </xf>
    <xf numFmtId="0" fontId="32" fillId="0" borderId="11" xfId="0" applyFont="1" applyBorder="1" applyAlignment="1">
      <alignment vertical="center"/>
    </xf>
    <xf numFmtId="170" fontId="32" fillId="0" borderId="0" xfId="0" applyNumberFormat="1" applyFont="1" applyAlignment="1">
      <alignment vertical="center"/>
    </xf>
    <xf numFmtId="171" fontId="30" fillId="0" borderId="8" xfId="0" applyNumberFormat="1" applyFont="1" applyBorder="1" applyAlignment="1">
      <alignment vertical="center"/>
    </xf>
    <xf numFmtId="0" fontId="38" fillId="0" borderId="12" xfId="0" applyFont="1" applyBorder="1" applyAlignment="1">
      <alignment vertical="center"/>
    </xf>
    <xf numFmtId="0" fontId="38" fillId="0" borderId="12" xfId="0" applyFont="1" applyBorder="1" applyAlignment="1">
      <alignment vertical="center" wrapText="1"/>
    </xf>
    <xf numFmtId="171" fontId="29" fillId="0" borderId="9" xfId="0" applyNumberFormat="1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5" xfId="0" applyFont="1" applyBorder="1" applyAlignment="1">
      <alignment vertical="center" wrapText="1"/>
    </xf>
    <xf numFmtId="0" fontId="38" fillId="0" borderId="5" xfId="0" applyFont="1" applyBorder="1" applyAlignment="1">
      <alignment vertical="center"/>
    </xf>
    <xf numFmtId="171" fontId="29" fillId="0" borderId="15" xfId="0" applyNumberFormat="1" applyFont="1" applyBorder="1" applyAlignment="1">
      <alignment vertical="center"/>
    </xf>
    <xf numFmtId="0" fontId="38" fillId="0" borderId="2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171" fontId="29" fillId="0" borderId="8" xfId="0" applyNumberFormat="1" applyFont="1" applyBorder="1" applyAlignment="1">
      <alignment vertical="center"/>
    </xf>
    <xf numFmtId="0" fontId="38" fillId="0" borderId="11" xfId="0" applyFont="1" applyBorder="1" applyAlignment="1">
      <alignment vertical="center"/>
    </xf>
    <xf numFmtId="1" fontId="30" fillId="0" borderId="12" xfId="0" applyNumberFormat="1" applyFont="1" applyBorder="1" applyAlignment="1">
      <alignment vertical="center"/>
    </xf>
    <xf numFmtId="1" fontId="30" fillId="0" borderId="11" xfId="0" applyNumberFormat="1" applyFont="1" applyBorder="1" applyAlignment="1">
      <alignment vertical="center"/>
    </xf>
    <xf numFmtId="170" fontId="31" fillId="0" borderId="0" xfId="0" applyNumberFormat="1" applyFont="1" applyAlignment="1" applyProtection="1">
      <alignment horizontal="right" vertical="center"/>
      <protection locked="0"/>
    </xf>
    <xf numFmtId="170" fontId="38" fillId="0" borderId="2" xfId="0" applyNumberFormat="1" applyFont="1" applyBorder="1" applyAlignment="1">
      <alignment horizontal="right" vertical="center"/>
    </xf>
    <xf numFmtId="0" fontId="39" fillId="0" borderId="12" xfId="0" applyFont="1" applyBorder="1"/>
    <xf numFmtId="0" fontId="38" fillId="0" borderId="12" xfId="0" applyFont="1" applyBorder="1"/>
    <xf numFmtId="0" fontId="38" fillId="0" borderId="0" xfId="0" applyFont="1" applyAlignment="1">
      <alignment vertical="center" wrapText="1"/>
    </xf>
    <xf numFmtId="0" fontId="38" fillId="0" borderId="2" xfId="0" applyFont="1" applyBorder="1" applyAlignment="1">
      <alignment vertical="center" wrapText="1"/>
    </xf>
    <xf numFmtId="0" fontId="38" fillId="0" borderId="11" xfId="0" applyFont="1" applyBorder="1"/>
    <xf numFmtId="0" fontId="40" fillId="0" borderId="12" xfId="0" applyFont="1" applyBorder="1" applyAlignment="1">
      <alignment horizontal="right" vertical="center"/>
    </xf>
    <xf numFmtId="0" fontId="38" fillId="0" borderId="8" xfId="0" applyFont="1" applyBorder="1" applyAlignment="1">
      <alignment vertical="center"/>
    </xf>
    <xf numFmtId="0" fontId="38" fillId="0" borderId="15" xfId="0" applyFont="1" applyBorder="1"/>
    <xf numFmtId="0" fontId="38" fillId="0" borderId="2" xfId="0" applyFont="1" applyBorder="1"/>
    <xf numFmtId="0" fontId="40" fillId="0" borderId="0" xfId="0" applyFont="1" applyAlignment="1">
      <alignment vertical="center"/>
    </xf>
    <xf numFmtId="1" fontId="30" fillId="0" borderId="10" xfId="0" applyNumberFormat="1" applyFont="1" applyBorder="1" applyAlignment="1">
      <alignment vertical="center"/>
    </xf>
    <xf numFmtId="1" fontId="30" fillId="0" borderId="8" xfId="0" applyNumberFormat="1" applyFont="1" applyBorder="1" applyAlignment="1">
      <alignment vertical="center"/>
    </xf>
    <xf numFmtId="0" fontId="35" fillId="3" borderId="7" xfId="0" applyFont="1" applyFill="1" applyBorder="1" applyAlignment="1">
      <alignment vertical="center"/>
    </xf>
    <xf numFmtId="171" fontId="29" fillId="3" borderId="7" xfId="0" applyNumberFormat="1" applyFont="1" applyFill="1" applyBorder="1" applyAlignment="1">
      <alignment vertical="center"/>
    </xf>
    <xf numFmtId="0" fontId="38" fillId="3" borderId="13" xfId="0" applyFont="1" applyFill="1" applyBorder="1" applyAlignment="1">
      <alignment vertical="center"/>
    </xf>
    <xf numFmtId="0" fontId="41" fillId="3" borderId="13" xfId="0" applyFont="1" applyFill="1" applyBorder="1" applyAlignment="1">
      <alignment vertical="center"/>
    </xf>
    <xf numFmtId="0" fontId="42" fillId="3" borderId="13" xfId="0" applyFont="1" applyFill="1" applyBorder="1" applyAlignment="1">
      <alignment vertical="center"/>
    </xf>
    <xf numFmtId="0" fontId="29" fillId="3" borderId="13" xfId="0" applyFont="1" applyFill="1" applyBorder="1" applyAlignment="1">
      <alignment vertical="center"/>
    </xf>
    <xf numFmtId="169" fontId="41" fillId="3" borderId="13" xfId="0" applyNumberFormat="1" applyFont="1" applyFill="1" applyBorder="1" applyAlignment="1">
      <alignment vertical="center"/>
    </xf>
    <xf numFmtId="0" fontId="39" fillId="3" borderId="13" xfId="0" applyFont="1" applyFill="1" applyBorder="1" applyAlignment="1">
      <alignment horizontal="left" vertical="center"/>
    </xf>
    <xf numFmtId="0" fontId="5" fillId="3" borderId="4" xfId="0" applyFont="1" applyFill="1" applyBorder="1"/>
    <xf numFmtId="0" fontId="30" fillId="0" borderId="10" xfId="0" applyFont="1" applyBorder="1" applyAlignment="1">
      <alignment horizontal="center" vertical="center"/>
    </xf>
    <xf numFmtId="3" fontId="38" fillId="0" borderId="0" xfId="0" applyNumberFormat="1" applyFont="1"/>
    <xf numFmtId="0" fontId="38" fillId="0" borderId="0" xfId="0" applyFont="1" applyAlignment="1">
      <alignment horizontal="right"/>
    </xf>
    <xf numFmtId="0" fontId="38" fillId="0" borderId="10" xfId="0" applyFont="1" applyBorder="1" applyAlignment="1">
      <alignment horizontal="right" vertical="center"/>
    </xf>
    <xf numFmtId="0" fontId="43" fillId="0" borderId="0" xfId="0" applyFont="1"/>
    <xf numFmtId="0" fontId="38" fillId="0" borderId="2" xfId="0" applyFont="1" applyBorder="1" applyAlignment="1">
      <alignment horizontal="left" vertical="center"/>
    </xf>
    <xf numFmtId="0" fontId="39" fillId="0" borderId="2" xfId="0" applyFont="1" applyBorder="1" applyAlignment="1">
      <alignment vertical="center" wrapText="1"/>
    </xf>
    <xf numFmtId="0" fontId="35" fillId="3" borderId="13" xfId="0" applyFont="1" applyFill="1" applyBorder="1" applyAlignment="1">
      <alignment horizontal="right" vertical="center"/>
    </xf>
    <xf numFmtId="0" fontId="35" fillId="3" borderId="13" xfId="0" applyFont="1" applyFill="1" applyBorder="1" applyAlignment="1">
      <alignment horizontal="left" vertical="center"/>
    </xf>
    <xf numFmtId="1" fontId="6" fillId="0" borderId="4" xfId="0" applyNumberFormat="1" applyFont="1" applyBorder="1" applyAlignment="1" applyProtection="1">
      <alignment horizontal="right" vertical="center" wrapText="1"/>
      <protection locked="0"/>
    </xf>
    <xf numFmtId="0" fontId="6" fillId="0" borderId="14" xfId="0" applyFont="1" applyBorder="1" applyAlignment="1" applyProtection="1">
      <alignment horizontal="right" vertical="center" wrapText="1"/>
      <protection locked="0"/>
    </xf>
    <xf numFmtId="178" fontId="10" fillId="0" borderId="7" xfId="0" applyNumberFormat="1" applyFont="1" applyBorder="1" applyAlignment="1">
      <alignment horizontal="right" vertical="center"/>
    </xf>
    <xf numFmtId="178" fontId="10" fillId="0" borderId="13" xfId="0" applyNumberFormat="1" applyFont="1" applyBorder="1" applyAlignment="1">
      <alignment horizontal="right" vertical="center"/>
    </xf>
    <xf numFmtId="164" fontId="4" fillId="11" borderId="6" xfId="0" applyNumberFormat="1" applyFont="1" applyFill="1" applyBorder="1" applyAlignment="1">
      <alignment horizontal="right" vertical="center"/>
    </xf>
    <xf numFmtId="164" fontId="5" fillId="0" borderId="4" xfId="0" applyNumberFormat="1" applyFont="1" applyBorder="1" applyAlignment="1" applyProtection="1">
      <alignment horizontal="right" vertical="center"/>
      <protection locked="0"/>
    </xf>
    <xf numFmtId="0" fontId="5" fillId="0" borderId="4" xfId="0" applyFont="1" applyBorder="1"/>
    <xf numFmtId="164" fontId="5" fillId="3" borderId="4" xfId="0" applyNumberFormat="1" applyFont="1" applyFill="1" applyBorder="1" applyAlignment="1" applyProtection="1">
      <alignment horizontal="right" vertical="center"/>
      <protection locked="0"/>
    </xf>
    <xf numFmtId="164" fontId="4" fillId="11" borderId="3" xfId="0" applyNumberFormat="1" applyFont="1" applyFill="1" applyBorder="1" applyAlignment="1">
      <alignment horizontal="right" vertical="center"/>
    </xf>
    <xf numFmtId="167" fontId="17" fillId="0" borderId="5" xfId="0" applyNumberFormat="1" applyFont="1" applyBorder="1" applyAlignment="1" applyProtection="1">
      <alignment horizontal="right" vertical="center"/>
      <protection locked="0"/>
    </xf>
    <xf numFmtId="167" fontId="17" fillId="3" borderId="5" xfId="0" applyNumberFormat="1" applyFont="1" applyFill="1" applyBorder="1" applyAlignment="1" applyProtection="1">
      <alignment horizontal="right" vertical="center"/>
      <protection locked="0"/>
    </xf>
    <xf numFmtId="164" fontId="31" fillId="0" borderId="9" xfId="0" applyNumberFormat="1" applyFont="1" applyBorder="1" applyAlignment="1" applyProtection="1">
      <alignment horizontal="right" vertical="center"/>
      <protection locked="0"/>
    </xf>
    <xf numFmtId="164" fontId="31" fillId="0" borderId="0" xfId="0" applyNumberFormat="1" applyFont="1" applyAlignment="1" applyProtection="1">
      <alignment horizontal="right" vertical="center"/>
      <protection locked="0"/>
    </xf>
    <xf numFmtId="164" fontId="38" fillId="0" borderId="0" xfId="0" applyNumberFormat="1" applyFont="1" applyAlignment="1">
      <alignment horizontal="right" vertical="center"/>
    </xf>
    <xf numFmtId="164" fontId="38" fillId="0" borderId="5" xfId="0" applyNumberFormat="1" applyFont="1" applyBorder="1" applyAlignment="1">
      <alignment horizontal="right" vertical="center"/>
    </xf>
    <xf numFmtId="164" fontId="38" fillId="0" borderId="4" xfId="0" applyNumberFormat="1" applyFont="1" applyBorder="1" applyAlignment="1">
      <alignment horizontal="right" vertical="center"/>
    </xf>
    <xf numFmtId="164" fontId="31" fillId="0" borderId="15" xfId="0" applyNumberFormat="1" applyFont="1" applyBorder="1" applyAlignment="1" applyProtection="1">
      <alignment horizontal="right" vertical="center"/>
      <protection locked="0"/>
    </xf>
    <xf numFmtId="164" fontId="31" fillId="0" borderId="2" xfId="0" applyNumberFormat="1" applyFont="1" applyBorder="1" applyAlignment="1" applyProtection="1">
      <alignment horizontal="right" vertical="center"/>
      <protection locked="0"/>
    </xf>
    <xf numFmtId="164" fontId="38" fillId="0" borderId="14" xfId="0" applyNumberFormat="1" applyFont="1" applyBorder="1" applyAlignment="1">
      <alignment horizontal="right" vertical="center"/>
    </xf>
    <xf numFmtId="164" fontId="31" fillId="0" borderId="8" xfId="0" applyNumberFormat="1" applyFont="1" applyBorder="1" applyAlignment="1" applyProtection="1">
      <alignment horizontal="right" vertical="center"/>
      <protection locked="0"/>
    </xf>
    <xf numFmtId="164" fontId="31" fillId="0" borderId="12" xfId="0" applyNumberFormat="1" applyFont="1" applyBorder="1" applyAlignment="1" applyProtection="1">
      <alignment horizontal="right" vertical="center"/>
      <protection locked="0"/>
    </xf>
    <xf numFmtId="164" fontId="31" fillId="0" borderId="11" xfId="0" applyNumberFormat="1" applyFont="1" applyBorder="1" applyAlignment="1" applyProtection="1">
      <alignment horizontal="right" vertical="center"/>
      <protection locked="0"/>
    </xf>
    <xf numFmtId="164" fontId="38" fillId="0" borderId="2" xfId="0" applyNumberFormat="1" applyFont="1" applyBorder="1" applyAlignment="1">
      <alignment horizontal="right" vertical="center"/>
    </xf>
    <xf numFmtId="164" fontId="38" fillId="0" borderId="16" xfId="0" applyNumberFormat="1" applyFont="1" applyBorder="1" applyAlignment="1">
      <alignment horizontal="right" vertical="center"/>
    </xf>
    <xf numFmtId="164" fontId="38" fillId="0" borderId="7" xfId="0" applyNumberFormat="1" applyFont="1" applyBorder="1" applyAlignment="1">
      <alignment horizontal="right" vertical="center"/>
    </xf>
    <xf numFmtId="164" fontId="38" fillId="0" borderId="13" xfId="0" applyNumberFormat="1" applyFont="1" applyBorder="1" applyAlignment="1">
      <alignment horizontal="right" vertical="center"/>
    </xf>
    <xf numFmtId="164" fontId="38" fillId="0" borderId="6" xfId="0" applyNumberFormat="1" applyFont="1" applyBorder="1" applyAlignment="1">
      <alignment horizontal="right" vertical="center"/>
    </xf>
    <xf numFmtId="164" fontId="29" fillId="0" borderId="0" xfId="0" applyNumberFormat="1" applyFont="1" applyAlignment="1" applyProtection="1">
      <alignment horizontal="right" vertical="center"/>
      <protection locked="0"/>
    </xf>
    <xf numFmtId="164" fontId="29" fillId="0" borderId="4" xfId="0" applyNumberFormat="1" applyFont="1" applyBorder="1" applyAlignment="1" applyProtection="1">
      <alignment horizontal="right" vertical="center"/>
      <protection locked="0"/>
    </xf>
    <xf numFmtId="164" fontId="38" fillId="0" borderId="9" xfId="0" applyNumberFormat="1" applyFont="1" applyBorder="1" applyAlignment="1">
      <alignment horizontal="right" vertical="center"/>
    </xf>
    <xf numFmtId="164" fontId="29" fillId="0" borderId="15" xfId="0" applyNumberFormat="1" applyFont="1" applyBorder="1" applyAlignment="1" applyProtection="1">
      <alignment horizontal="right" vertical="center"/>
      <protection locked="0"/>
    </xf>
    <xf numFmtId="164" fontId="29" fillId="0" borderId="2" xfId="0" applyNumberFormat="1" applyFont="1" applyBorder="1" applyAlignment="1" applyProtection="1">
      <alignment horizontal="right" vertical="center"/>
      <protection locked="0"/>
    </xf>
    <xf numFmtId="164" fontId="29" fillId="0" borderId="9" xfId="0" applyNumberFormat="1" applyFont="1" applyBorder="1" applyAlignment="1" applyProtection="1">
      <alignment horizontal="right" vertical="center"/>
      <protection locked="0"/>
    </xf>
    <xf numFmtId="167" fontId="31" fillId="0" borderId="9" xfId="0" applyNumberFormat="1" applyFont="1" applyBorder="1" applyAlignment="1" applyProtection="1">
      <alignment horizontal="right" vertical="center"/>
      <protection locked="0"/>
    </xf>
    <xf numFmtId="167" fontId="31" fillId="0" borderId="0" xfId="0" applyNumberFormat="1" applyFont="1" applyAlignment="1" applyProtection="1">
      <alignment horizontal="right" vertical="center"/>
      <protection locked="0"/>
    </xf>
    <xf numFmtId="167" fontId="31" fillId="0" borderId="5" xfId="0" applyNumberFormat="1" applyFont="1" applyBorder="1" applyAlignment="1" applyProtection="1">
      <alignment horizontal="right" vertical="center"/>
      <protection locked="0"/>
    </xf>
    <xf numFmtId="167" fontId="38" fillId="0" borderId="4" xfId="0" applyNumberFormat="1" applyFont="1" applyBorder="1" applyAlignment="1">
      <alignment horizontal="right" vertical="center"/>
    </xf>
    <xf numFmtId="167" fontId="29" fillId="0" borderId="15" xfId="0" applyNumberFormat="1" applyFont="1" applyBorder="1" applyAlignment="1" applyProtection="1">
      <alignment horizontal="right" vertical="center"/>
      <protection locked="0"/>
    </xf>
    <xf numFmtId="167" fontId="29" fillId="0" borderId="2" xfId="0" applyNumberFormat="1" applyFont="1" applyBorder="1" applyAlignment="1" applyProtection="1">
      <alignment horizontal="right" vertical="center"/>
      <protection locked="0"/>
    </xf>
    <xf numFmtId="167" fontId="29" fillId="0" borderId="14" xfId="0" applyNumberFormat="1" applyFont="1" applyBorder="1" applyAlignment="1" applyProtection="1">
      <alignment horizontal="right" vertical="center"/>
      <protection locked="0"/>
    </xf>
    <xf numFmtId="166" fontId="31" fillId="0" borderId="5" xfId="0" applyNumberFormat="1" applyFont="1" applyBorder="1" applyAlignment="1" applyProtection="1">
      <alignment horizontal="right" vertical="center"/>
      <protection locked="0"/>
    </xf>
    <xf numFmtId="166" fontId="31" fillId="0" borderId="16" xfId="0" applyNumberFormat="1" applyFont="1" applyBorder="1" applyAlignment="1" applyProtection="1">
      <alignment horizontal="right" vertical="center"/>
      <protection locked="0"/>
    </xf>
    <xf numFmtId="167" fontId="13" fillId="3" borderId="6" xfId="0" applyNumberFormat="1" applyFont="1" applyFill="1" applyBorder="1" applyAlignment="1">
      <alignment horizontal="right" vertical="center"/>
    </xf>
    <xf numFmtId="167" fontId="38" fillId="0" borderId="16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7" fontId="38" fillId="3" borderId="6" xfId="0" applyNumberFormat="1" applyFont="1" applyFill="1" applyBorder="1" applyAlignment="1">
      <alignment horizontal="right" vertical="center"/>
    </xf>
    <xf numFmtId="168" fontId="39" fillId="0" borderId="14" xfId="0" applyNumberFormat="1" applyFont="1" applyBorder="1" applyAlignment="1">
      <alignment horizontal="right"/>
    </xf>
    <xf numFmtId="168" fontId="36" fillId="0" borderId="10" xfId="0" applyNumberFormat="1" applyFont="1" applyBorder="1" applyAlignment="1">
      <alignment vertical="center"/>
    </xf>
    <xf numFmtId="168" fontId="44" fillId="0" borderId="10" xfId="0" applyNumberFormat="1" applyFont="1" applyBorder="1" applyAlignment="1">
      <alignment horizontal="right" vertical="center"/>
    </xf>
    <xf numFmtId="168" fontId="36" fillId="0" borderId="4" xfId="0" applyNumberFormat="1" applyFont="1" applyBorder="1" applyAlignment="1">
      <alignment horizontal="right" vertical="center"/>
    </xf>
    <xf numFmtId="168" fontId="39" fillId="0" borderId="4" xfId="0" applyNumberFormat="1" applyFont="1" applyBorder="1" applyAlignment="1">
      <alignment horizontal="right" vertical="center"/>
    </xf>
    <xf numFmtId="168" fontId="36" fillId="0" borderId="14" xfId="0" applyNumberFormat="1" applyFont="1" applyBorder="1" applyAlignment="1">
      <alignment horizontal="right" vertical="center"/>
    </xf>
    <xf numFmtId="168" fontId="39" fillId="0" borderId="14" xfId="0" applyNumberFormat="1" applyFont="1" applyBorder="1" applyAlignment="1">
      <alignment horizontal="right" vertical="center"/>
    </xf>
    <xf numFmtId="168" fontId="36" fillId="0" borderId="10" xfId="0" applyNumberFormat="1" applyFont="1" applyBorder="1" applyAlignment="1">
      <alignment horizontal="right" vertical="center"/>
    </xf>
    <xf numFmtId="168" fontId="39" fillId="0" borderId="10" xfId="0" applyNumberFormat="1" applyFont="1" applyBorder="1" applyAlignment="1">
      <alignment horizontal="right" vertical="center"/>
    </xf>
    <xf numFmtId="168" fontId="39" fillId="0" borderId="3" xfId="0" applyNumberFormat="1" applyFont="1" applyBorder="1" applyAlignment="1">
      <alignment horizontal="right" vertical="center"/>
    </xf>
    <xf numFmtId="168" fontId="39" fillId="0" borderId="10" xfId="0" applyNumberFormat="1" applyFont="1" applyBorder="1" applyAlignment="1">
      <alignment horizontal="right"/>
    </xf>
    <xf numFmtId="168" fontId="39" fillId="0" borderId="4" xfId="0" applyNumberFormat="1" applyFont="1" applyBorder="1" applyAlignment="1">
      <alignment vertical="center" wrapText="1"/>
    </xf>
    <xf numFmtId="168" fontId="39" fillId="0" borderId="14" xfId="0" applyNumberFormat="1" applyFont="1" applyBorder="1" applyAlignment="1">
      <alignment vertical="center" wrapText="1"/>
    </xf>
    <xf numFmtId="168" fontId="39" fillId="3" borderId="3" xfId="0" applyNumberFormat="1" applyFont="1" applyFill="1" applyBorder="1" applyAlignment="1">
      <alignment horizontal="right" vertical="center"/>
    </xf>
    <xf numFmtId="168" fontId="32" fillId="0" borderId="10" xfId="0" applyNumberFormat="1" applyFont="1" applyBorder="1" applyAlignment="1">
      <alignment vertical="center"/>
    </xf>
    <xf numFmtId="168" fontId="35" fillId="0" borderId="4" xfId="0" applyNumberFormat="1" applyFont="1" applyBorder="1" applyAlignment="1">
      <alignment vertical="center"/>
    </xf>
    <xf numFmtId="168" fontId="35" fillId="0" borderId="14" xfId="0" applyNumberFormat="1" applyFont="1" applyBorder="1" applyAlignment="1">
      <alignment vertical="center"/>
    </xf>
    <xf numFmtId="176" fontId="29" fillId="0" borderId="12" xfId="0" applyNumberFormat="1" applyFont="1" applyBorder="1" applyAlignment="1">
      <alignment horizontal="right" vertical="center"/>
    </xf>
    <xf numFmtId="176" fontId="29" fillId="0" borderId="11" xfId="0" applyNumberFormat="1" applyFont="1" applyBorder="1" applyAlignment="1">
      <alignment horizontal="right" vertical="center"/>
    </xf>
    <xf numFmtId="176" fontId="38" fillId="0" borderId="2" xfId="0" applyNumberFormat="1" applyFont="1" applyBorder="1" applyAlignment="1">
      <alignment horizontal="right"/>
    </xf>
    <xf numFmtId="176" fontId="38" fillId="0" borderId="16" xfId="0" applyNumberFormat="1" applyFont="1" applyBorder="1" applyAlignment="1">
      <alignment horizontal="right"/>
    </xf>
    <xf numFmtId="176" fontId="29" fillId="0" borderId="8" xfId="0" applyNumberFormat="1" applyFont="1" applyBorder="1" applyAlignment="1">
      <alignment horizontal="right" vertical="center"/>
    </xf>
    <xf numFmtId="176" fontId="38" fillId="0" borderId="15" xfId="0" applyNumberFormat="1" applyFont="1" applyBorder="1" applyAlignment="1">
      <alignment horizontal="right"/>
    </xf>
    <xf numFmtId="0" fontId="5" fillId="0" borderId="10" xfId="0" applyFont="1" applyBorder="1"/>
    <xf numFmtId="167" fontId="17" fillId="0" borderId="11" xfId="0" applyNumberFormat="1" applyFont="1" applyBorder="1" applyAlignment="1" applyProtection="1">
      <alignment horizontal="right" vertical="center"/>
      <protection locked="0"/>
    </xf>
    <xf numFmtId="164" fontId="5" fillId="0" borderId="10" xfId="0" applyNumberFormat="1" applyFont="1" applyBorder="1" applyAlignment="1" applyProtection="1">
      <alignment horizontal="right" vertical="center"/>
      <protection locked="0"/>
    </xf>
    <xf numFmtId="0" fontId="45" fillId="0" borderId="0" xfId="0" applyFont="1" applyAlignment="1">
      <alignment horizontal="left"/>
    </xf>
    <xf numFmtId="0" fontId="6" fillId="12" borderId="3" xfId="0" applyFont="1" applyFill="1" applyBorder="1" applyAlignment="1">
      <alignment vertical="center"/>
    </xf>
    <xf numFmtId="0" fontId="1" fillId="13" borderId="10" xfId="0" applyFont="1" applyFill="1" applyBorder="1"/>
    <xf numFmtId="0" fontId="1" fillId="13" borderId="4" xfId="0" applyFont="1" applyFill="1" applyBorder="1"/>
    <xf numFmtId="0" fontId="1" fillId="13" borderId="14" xfId="0" applyFont="1" applyFill="1" applyBorder="1"/>
    <xf numFmtId="0" fontId="6" fillId="13" borderId="3" xfId="0" applyFont="1" applyFill="1" applyBorder="1"/>
    <xf numFmtId="0" fontId="6" fillId="13" borderId="3" xfId="0" applyFont="1" applyFill="1" applyBorder="1" applyAlignment="1">
      <alignment horizontal="left"/>
    </xf>
    <xf numFmtId="0" fontId="1" fillId="14" borderId="3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46" fillId="15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1" fillId="16" borderId="10" xfId="0" applyFont="1" applyFill="1" applyBorder="1" applyAlignment="1">
      <alignment horizontal="left"/>
    </xf>
    <xf numFmtId="0" fontId="1" fillId="16" borderId="4" xfId="0" applyFont="1" applyFill="1" applyBorder="1" applyAlignment="1">
      <alignment horizontal="left"/>
    </xf>
    <xf numFmtId="0" fontId="1" fillId="16" borderId="14" xfId="0" applyFont="1" applyFill="1" applyBorder="1" applyAlignment="1">
      <alignment horizontal="left"/>
    </xf>
    <xf numFmtId="0" fontId="6" fillId="16" borderId="4" xfId="0" applyFont="1" applyFill="1" applyBorder="1" applyAlignment="1">
      <alignment horizontal="left"/>
    </xf>
    <xf numFmtId="0" fontId="6" fillId="16" borderId="10" xfId="0" applyFont="1" applyFill="1" applyBorder="1" applyAlignment="1">
      <alignment horizontal="left"/>
    </xf>
    <xf numFmtId="0" fontId="1" fillId="17" borderId="0" xfId="0" applyFont="1" applyFill="1"/>
    <xf numFmtId="0" fontId="6" fillId="13" borderId="3" xfId="0" applyFont="1" applyFill="1" applyBorder="1" applyAlignment="1">
      <alignment vertical="center"/>
    </xf>
    <xf numFmtId="14" fontId="1" fillId="18" borderId="3" xfId="0" applyNumberFormat="1" applyFont="1" applyFill="1" applyBorder="1" applyAlignment="1">
      <alignment vertical="center"/>
    </xf>
    <xf numFmtId="49" fontId="1" fillId="18" borderId="3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/>
    </xf>
    <xf numFmtId="0" fontId="6" fillId="0" borderId="0" xfId="0" applyFont="1"/>
    <xf numFmtId="0" fontId="47" fillId="0" borderId="0" xfId="0" applyFont="1"/>
    <xf numFmtId="1" fontId="1" fillId="16" borderId="3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 indent="1"/>
    </xf>
    <xf numFmtId="0" fontId="5" fillId="2" borderId="1" xfId="0" applyFont="1" applyFill="1" applyBorder="1" applyAlignment="1">
      <alignment horizontal="left" vertical="center" inden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1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right" wrapText="1"/>
    </xf>
    <xf numFmtId="0" fontId="13" fillId="2" borderId="11" xfId="0" applyFont="1" applyFill="1" applyBorder="1" applyAlignment="1">
      <alignment horizontal="right" wrapText="1"/>
    </xf>
    <xf numFmtId="0" fontId="13" fillId="2" borderId="15" xfId="0" applyFont="1" applyFill="1" applyBorder="1" applyAlignment="1">
      <alignment horizontal="right" wrapText="1"/>
    </xf>
    <xf numFmtId="0" fontId="13" fillId="2" borderId="16" xfId="0" applyFont="1" applyFill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18" fillId="4" borderId="0" xfId="0" applyFont="1" applyFill="1" applyAlignment="1">
      <alignment horizontal="center" vertical="center" textRotation="90"/>
    </xf>
    <xf numFmtId="0" fontId="18" fillId="5" borderId="0" xfId="0" applyFont="1" applyFill="1" applyAlignment="1">
      <alignment horizontal="center" vertical="center" textRotation="90"/>
    </xf>
    <xf numFmtId="0" fontId="18" fillId="6" borderId="0" xfId="0" applyFont="1" applyFill="1" applyAlignment="1">
      <alignment horizontal="center" vertical="center" textRotation="90"/>
    </xf>
    <xf numFmtId="0" fontId="19" fillId="0" borderId="0" xfId="0" applyFont="1" applyAlignment="1">
      <alignment horizontal="center" wrapText="1"/>
    </xf>
    <xf numFmtId="0" fontId="5" fillId="0" borderId="4" xfId="0" applyFont="1" applyBorder="1" applyAlignment="1">
      <alignment horizontal="right"/>
    </xf>
    <xf numFmtId="0" fontId="5" fillId="2" borderId="7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right" wrapText="1"/>
    </xf>
    <xf numFmtId="0" fontId="4" fillId="0" borderId="14" xfId="0" applyFont="1" applyBorder="1" applyAlignment="1">
      <alignment horizontal="right" wrapText="1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18" fillId="7" borderId="5" xfId="0" applyFont="1" applyFill="1" applyBorder="1" applyAlignment="1">
      <alignment horizontal="center" vertical="center" textRotation="90"/>
    </xf>
    <xf numFmtId="0" fontId="18" fillId="8" borderId="5" xfId="0" applyFont="1" applyFill="1" applyBorder="1" applyAlignment="1">
      <alignment horizontal="center" vertical="center" textRotation="90"/>
    </xf>
    <xf numFmtId="0" fontId="18" fillId="9" borderId="5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26" fillId="0" borderId="10" xfId="0" applyFont="1" applyBorder="1" applyAlignment="1">
      <alignment horizontal="right" wrapText="1"/>
    </xf>
    <xf numFmtId="0" fontId="26" fillId="0" borderId="4" xfId="0" applyFont="1" applyBorder="1" applyAlignment="1">
      <alignment horizontal="right" wrapText="1"/>
    </xf>
    <xf numFmtId="0" fontId="26" fillId="0" borderId="14" xfId="0" applyFont="1" applyBorder="1" applyAlignment="1">
      <alignment horizontal="right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164" fontId="38" fillId="0" borderId="0" xfId="0" applyNumberFormat="1" applyFont="1" applyAlignment="1">
      <alignment horizontal="right" vertical="center"/>
    </xf>
    <xf numFmtId="164" fontId="38" fillId="0" borderId="5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right" wrapText="1"/>
    </xf>
    <xf numFmtId="0" fontId="5" fillId="0" borderId="4" xfId="0" applyFont="1" applyBorder="1" applyAlignment="1">
      <alignment horizontal="right" wrapText="1"/>
    </xf>
  </cellXfs>
  <cellStyles count="1">
    <cellStyle name="Standard" xfId="0" builtinId="0"/>
  </cellStyles>
  <dxfs count="59">
    <dxf>
      <fill>
        <patternFill patternType="lightUp">
          <fgColor indexed="39"/>
        </patternFill>
      </fill>
    </dxf>
    <dxf>
      <numFmt numFmtId="179" formatCode="\-_ \ \ \ \ "/>
    </dxf>
    <dxf>
      <numFmt numFmtId="179" formatCode="\-_ \ \ \ \ "/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numFmt numFmtId="180" formatCode="0;\-0;&quot;&quot;;&quot;&quot;"/>
    </dxf>
    <dxf>
      <numFmt numFmtId="180" formatCode="0;\-0;&quot;&quot;;&quot;&quot;"/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numFmt numFmtId="181" formatCode="\-_ "/>
    </dxf>
    <dxf>
      <fill>
        <patternFill patternType="lightUp">
          <fgColor rgb="FF0000FF"/>
        </patternFill>
      </fill>
    </dxf>
    <dxf>
      <numFmt numFmtId="181" formatCode="\-_ "/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numFmt numFmtId="181" formatCode="\-_ "/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4" dropStyle="combo" dx="26" fmlaLink="DFIE!$D$7" fmlaRange="DFIE!$D$3:$D$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502920</xdr:colOff>
          <xdr:row>6</xdr:row>
          <xdr:rowOff>30480</xdr:rowOff>
        </xdr:from>
        <xdr:to>
          <xdr:col>3</xdr:col>
          <xdr:colOff>685800</xdr:colOff>
          <xdr:row>7</xdr:row>
          <xdr:rowOff>91440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E43"/>
  <sheetViews>
    <sheetView showGridLines="0" showRowColHeaders="0" tabSelected="1" zoomScaleNormal="100" workbookViewId="0">
      <selection activeCell="A51" sqref="A51"/>
    </sheetView>
  </sheetViews>
  <sheetFormatPr baseColWidth="10" defaultRowHeight="13.2" x14ac:dyDescent="0.25"/>
  <cols>
    <col min="1" max="1" width="2.6640625" customWidth="1"/>
    <col min="2" max="3" width="15.6640625" customWidth="1"/>
    <col min="4" max="4" width="23.6640625" customWidth="1"/>
    <col min="5" max="5" width="31.6640625" customWidth="1"/>
  </cols>
  <sheetData>
    <row r="1" spans="2:5" ht="18" customHeight="1" x14ac:dyDescent="0.25">
      <c r="E1" s="2" t="str">
        <f ca="1">DFIE!$B$10</f>
        <v>Eidgenössisches Finanzdepartement EFD</v>
      </c>
    </row>
    <row r="2" spans="2:5" x14ac:dyDescent="0.25">
      <c r="E2" s="7" t="str">
        <f ca="1">DFIE!$B$11</f>
        <v>Eidgenössische Finanzverwaltung EFV</v>
      </c>
    </row>
    <row r="7" spans="2:5" x14ac:dyDescent="0.25">
      <c r="B7" s="8" t="s">
        <v>144</v>
      </c>
    </row>
    <row r="8" spans="2:5" x14ac:dyDescent="0.25">
      <c r="B8" s="8" t="s">
        <v>145</v>
      </c>
    </row>
    <row r="9" spans="2:5" x14ac:dyDescent="0.25">
      <c r="B9" s="8" t="s">
        <v>146</v>
      </c>
    </row>
    <row r="10" spans="2:5" x14ac:dyDescent="0.25">
      <c r="B10" s="8" t="s">
        <v>147</v>
      </c>
    </row>
    <row r="13" spans="2:5" ht="21" customHeight="1" x14ac:dyDescent="0.3">
      <c r="B13" s="3" t="str">
        <f ca="1">DFIE!$B$12</f>
        <v>Finanzausgleich zwischen Bund und Kantonen</v>
      </c>
    </row>
    <row r="14" spans="2:5" ht="21" customHeight="1" x14ac:dyDescent="0.3">
      <c r="B14" s="3" t="str">
        <f ca="1">DFIE!$B$13</f>
        <v>Ressourcenausgleich 2026</v>
      </c>
    </row>
    <row r="15" spans="2:5" ht="15" customHeight="1" x14ac:dyDescent="0.25"/>
    <row r="16" spans="2:5" ht="15" customHeight="1" x14ac:dyDescent="0.25"/>
    <row r="17" spans="2:5" ht="20.25" customHeight="1" x14ac:dyDescent="0.25">
      <c r="B17" s="13" t="s">
        <v>148</v>
      </c>
      <c r="C17" s="566" t="str">
        <f ca="1">DFIE!$B$14</f>
        <v>Übersicht über die Zahlungen im Ressourcenausgleich</v>
      </c>
      <c r="D17" s="566"/>
      <c r="E17" s="566"/>
    </row>
    <row r="18" spans="2:5" ht="16.5" customHeight="1" x14ac:dyDescent="0.25">
      <c r="B18" s="9"/>
      <c r="C18" s="10"/>
    </row>
    <row r="19" spans="2:5" ht="20.25" customHeight="1" x14ac:dyDescent="0.25">
      <c r="B19" s="12" t="s">
        <v>149</v>
      </c>
      <c r="C19" s="567" t="str">
        <f ca="1">DFIE!$B$15</f>
        <v>Einkommen natürlicher Personen</v>
      </c>
      <c r="D19" s="567"/>
      <c r="E19" s="567"/>
    </row>
    <row r="20" spans="2:5" ht="20.25" customHeight="1" x14ac:dyDescent="0.25">
      <c r="B20" s="12" t="s">
        <v>150</v>
      </c>
      <c r="C20" s="567" t="str">
        <f ca="1">DFIE!$B$16</f>
        <v>Quellenbesteuerte Einkommen natürlicher Personen</v>
      </c>
      <c r="D20" s="567"/>
      <c r="E20" s="567"/>
    </row>
    <row r="21" spans="2:5" ht="20.25" customHeight="1" x14ac:dyDescent="0.25">
      <c r="B21" s="12" t="s">
        <v>151</v>
      </c>
      <c r="C21" s="567" t="str">
        <f ca="1">DFIE!$B$17</f>
        <v>Vermögen natürlicher Personen</v>
      </c>
      <c r="D21" s="567"/>
      <c r="E21" s="567"/>
    </row>
    <row r="22" spans="2:5" ht="20.25" customHeight="1" x14ac:dyDescent="0.25">
      <c r="B22" s="12" t="s">
        <v>152</v>
      </c>
      <c r="C22" s="567" t="str">
        <f ca="1">DFIE!$B$20</f>
        <v>Gewinne juristischer Personen</v>
      </c>
      <c r="D22" s="567"/>
      <c r="E22" s="567"/>
    </row>
    <row r="23" spans="2:5" ht="20.25" customHeight="1" x14ac:dyDescent="0.25">
      <c r="B23" s="12" t="s">
        <v>153</v>
      </c>
      <c r="C23" s="567" t="str">
        <f ca="1">DFIE!$B$21</f>
        <v>Steuerrepartitionen</v>
      </c>
      <c r="D23" s="567"/>
      <c r="E23" s="567"/>
    </row>
    <row r="24" spans="2:5" ht="20.25" customHeight="1" x14ac:dyDescent="0.25">
      <c r="B24" s="12" t="s">
        <v>154</v>
      </c>
      <c r="C24" s="567" t="str">
        <f ca="1">DFIE!$B$22</f>
        <v>Aggregierte Steuerbemessungsgrundlage</v>
      </c>
      <c r="D24" s="567"/>
      <c r="E24" s="567"/>
    </row>
    <row r="25" spans="2:5" ht="20.25" customHeight="1" x14ac:dyDescent="0.25">
      <c r="B25" s="12" t="s">
        <v>155</v>
      </c>
      <c r="C25" s="567" t="str">
        <f ca="1">DFIE!$B$23</f>
        <v>Massgebende Wohnbevölkerung</v>
      </c>
      <c r="D25" s="567"/>
      <c r="E25" s="567"/>
    </row>
    <row r="26" spans="2:5" ht="20.25" customHeight="1" x14ac:dyDescent="0.25">
      <c r="B26" s="12" t="s">
        <v>156</v>
      </c>
      <c r="C26" s="567" t="str">
        <f ca="1">DFIE!$B$24</f>
        <v>Berechnung Ressourcenpotenzial und -index</v>
      </c>
      <c r="D26" s="567"/>
      <c r="E26" s="567"/>
    </row>
    <row r="27" spans="2:5" ht="20.25" customHeight="1" x14ac:dyDescent="0.25">
      <c r="B27" s="12" t="s">
        <v>161</v>
      </c>
      <c r="C27" s="567" t="str">
        <f ca="1">DFIE!$B$25</f>
        <v>Standardisierter Steuersatz</v>
      </c>
      <c r="D27" s="567"/>
      <c r="E27" s="567"/>
    </row>
    <row r="28" spans="2:5" ht="20.25" customHeight="1" x14ac:dyDescent="0.25">
      <c r="B28" s="12" t="s">
        <v>159</v>
      </c>
      <c r="C28" s="567" t="str">
        <f ca="1">DFIE!$B$26</f>
        <v>Auszahlungen an die ressourcenschwachen Kantone</v>
      </c>
      <c r="D28" s="567"/>
      <c r="E28" s="567"/>
    </row>
    <row r="29" spans="2:5" ht="20.25" customHeight="1" x14ac:dyDescent="0.25">
      <c r="B29" s="12" t="s">
        <v>157</v>
      </c>
      <c r="C29" s="567" t="str">
        <f ca="1">DFIE!$B$27</f>
        <v>Dotationen im Ressourcenausgleich</v>
      </c>
      <c r="D29" s="567"/>
      <c r="E29" s="567"/>
    </row>
    <row r="30" spans="2:5" ht="20.25" customHeight="1" x14ac:dyDescent="0.25">
      <c r="B30" s="12" t="s">
        <v>158</v>
      </c>
      <c r="C30" s="567" t="str">
        <f ca="1">DFIE!$B$28</f>
        <v>Einzahlungen der ressourcenstarken Kantone</v>
      </c>
      <c r="D30" s="567"/>
      <c r="E30" s="567"/>
    </row>
    <row r="31" spans="2:5" ht="20.25" customHeight="1" x14ac:dyDescent="0.25">
      <c r="B31" s="12" t="s">
        <v>160</v>
      </c>
      <c r="C31" s="567" t="str">
        <f ca="1">DFIE!$B$29</f>
        <v>Standardisierter Steuerertrag</v>
      </c>
      <c r="D31" s="567"/>
      <c r="E31" s="567"/>
    </row>
    <row r="32" spans="2:5" ht="20.25" customHeight="1" x14ac:dyDescent="0.25">
      <c r="B32" s="12" t="s">
        <v>750</v>
      </c>
      <c r="C32" s="567" t="str">
        <f ca="1">DFIE!$B$30</f>
        <v>Berechnung Faktor Alpha</v>
      </c>
      <c r="D32" s="567"/>
      <c r="E32" s="567"/>
    </row>
    <row r="33" spans="2:5" ht="20.25" customHeight="1" x14ac:dyDescent="0.25">
      <c r="B33" s="12" t="s">
        <v>630</v>
      </c>
      <c r="C33" s="567" t="str">
        <f ca="1">DFIE!$B$31</f>
        <v>Berechnung Faktoren Zeta</v>
      </c>
      <c r="D33" s="567"/>
      <c r="E33" s="567"/>
    </row>
    <row r="34" spans="2:5" ht="20.25" customHeight="1" x14ac:dyDescent="0.25"/>
    <row r="35" spans="2:5" ht="20.25" customHeight="1" x14ac:dyDescent="0.25"/>
    <row r="36" spans="2:5" ht="20.25" customHeight="1" x14ac:dyDescent="0.25"/>
    <row r="37" spans="2:5" ht="20.25" customHeight="1" x14ac:dyDescent="0.25"/>
    <row r="38" spans="2:5" ht="20.25" customHeight="1" x14ac:dyDescent="0.25"/>
    <row r="39" spans="2:5" ht="20.25" customHeight="1" x14ac:dyDescent="0.25">
      <c r="B39" s="11"/>
      <c r="C39" s="11"/>
      <c r="D39" s="11"/>
      <c r="E39" s="11"/>
    </row>
    <row r="41" spans="2:5" x14ac:dyDescent="0.25">
      <c r="B41" s="1"/>
      <c r="C41" s="1" t="str">
        <f ca="1">DFIE!$B$69</f>
        <v>Referenzjahr</v>
      </c>
      <c r="D41" s="4">
        <v>2026</v>
      </c>
    </row>
    <row r="42" spans="2:5" x14ac:dyDescent="0.25">
      <c r="B42" s="1"/>
      <c r="C42" s="1" t="str">
        <f ca="1">DFIE!$B$70</f>
        <v>Berechnungsdatum</v>
      </c>
      <c r="D42" s="5" t="s">
        <v>973</v>
      </c>
    </row>
    <row r="43" spans="2:5" x14ac:dyDescent="0.25">
      <c r="B43" s="1"/>
      <c r="C43" s="1" t="str">
        <f ca="1">DFIE!$B$71</f>
        <v>Berechnungs-ID</v>
      </c>
      <c r="D43" s="6" t="s">
        <v>974</v>
      </c>
    </row>
  </sheetData>
  <mergeCells count="16">
    <mergeCell ref="C31:E31"/>
    <mergeCell ref="C29:E29"/>
    <mergeCell ref="C30:E30"/>
    <mergeCell ref="C28:E28"/>
    <mergeCell ref="C33:E33"/>
    <mergeCell ref="C32:E32"/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</mergeCells>
  <conditionalFormatting sqref="D41:D43">
    <cfRule type="expression" dxfId="58" priority="1" stopIfTrue="1">
      <formula>ISBLANK(D41)</formula>
    </cfRule>
  </conditionalFormatting>
  <hyperlinks>
    <hyperlink ref="B17" location="TOTAL!A1" display="TOTAL" xr:uid="{00000000-0004-0000-0000-000000000000}"/>
    <hyperlink ref="B30" location="EINZ!A1" display="EINZ" xr:uid="{00000000-0004-0000-0000-000001000000}"/>
    <hyperlink ref="B29" location="DOT!A1" display="DOT" xr:uid="{00000000-0004-0000-0000-000002000000}"/>
    <hyperlink ref="B31" location="SSE!A1" display="SSE" xr:uid="{00000000-0004-0000-0000-000003000000}"/>
    <hyperlink ref="B28" location="AUSZ!A1" display="AUSZ" xr:uid="{00000000-0004-0000-0000-000004000000}"/>
    <hyperlink ref="B26" location="RP!A1" display="RP" xr:uid="{00000000-0004-0000-0000-000005000000}"/>
    <hyperlink ref="B25" location="BEV!A1" display="BEV" xr:uid="{00000000-0004-0000-0000-000006000000}"/>
    <hyperlink ref="B24" location="ASG!A1" display="ASG" xr:uid="{00000000-0004-0000-0000-000007000000}"/>
    <hyperlink ref="B23" location="REP!A1" display="REP" xr:uid="{00000000-0004-0000-0000-000008000000}"/>
    <hyperlink ref="B22" location="JP!A1" display="JP" xr:uid="{00000000-0004-0000-0000-000009000000}"/>
    <hyperlink ref="B21" location="VERM!A1" display="VERM" xr:uid="{00000000-0004-0000-0000-00000A000000}"/>
    <hyperlink ref="B20" location="QS!A1" display="QS" xr:uid="{00000000-0004-0000-0000-00000B000000}"/>
    <hyperlink ref="B19" location="NP!A1" display="NP" xr:uid="{00000000-0004-0000-0000-00000C000000}"/>
    <hyperlink ref="B27" location="SST!A1" display="SST" xr:uid="{00000000-0004-0000-0000-00000D000000}"/>
    <hyperlink ref="B33" location="ZETA!A1" display="ZETA" xr:uid="{00000000-0004-0000-0000-00000E000000}"/>
    <hyperlink ref="B32" location="SSE!A1" display="ALPHA" xr:uid="{00000000-0004-0000-0000-00000F000000}"/>
  </hyperlinks>
  <pageMargins left="0.7" right="0.54" top="0.78740157499999996" bottom="0.78740157499999996" header="0.3" footer="0.3"/>
  <pageSetup paperSize="9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3" name="Drop Down 1025">
              <controlPr defaultSize="0" autoLine="0" autoPict="0">
                <anchor moveWithCells="1">
                  <from>
                    <xdr:col>2</xdr:col>
                    <xdr:colOff>502920</xdr:colOff>
                    <xdr:row>6</xdr:row>
                    <xdr:rowOff>30480</xdr:rowOff>
                  </from>
                  <to>
                    <xdr:col>3</xdr:col>
                    <xdr:colOff>685800</xdr:colOff>
                    <xdr:row>7</xdr:row>
                    <xdr:rowOff>91440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I38"/>
  <sheetViews>
    <sheetView showGridLines="0" zoomScaleNormal="10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17.33203125" customWidth="1"/>
    <col min="3" max="6" width="16.6640625" customWidth="1"/>
    <col min="7" max="9" width="17.6640625" customWidth="1"/>
  </cols>
  <sheetData>
    <row r="1" spans="1:9" ht="22.5" customHeight="1" x14ac:dyDescent="0.3">
      <c r="B1" s="117" t="str">
        <f ca="1">DFIE!$B$185</f>
        <v>Berechnung Ressourcenpotenzial und -index 2026</v>
      </c>
      <c r="C1" s="197"/>
      <c r="D1" s="197"/>
      <c r="E1" s="205"/>
      <c r="F1" s="199"/>
    </row>
    <row r="2" spans="1:9" ht="12.75" customHeight="1" x14ac:dyDescent="0.25">
      <c r="A2" s="206"/>
      <c r="C2" s="206"/>
      <c r="D2" s="206"/>
      <c r="E2" s="207"/>
      <c r="F2" s="208"/>
    </row>
    <row r="3" spans="1:9" ht="0.75" customHeight="1" x14ac:dyDescent="0.25">
      <c r="A3" s="206"/>
      <c r="C3" s="207"/>
      <c r="D3" s="207"/>
      <c r="E3" s="207"/>
      <c r="F3" s="207"/>
      <c r="G3" s="207"/>
      <c r="H3" s="207"/>
      <c r="I3" s="208"/>
    </row>
    <row r="4" spans="1:9" ht="0.75" customHeight="1" x14ac:dyDescent="0.25">
      <c r="A4" s="206"/>
      <c r="C4" s="207"/>
      <c r="D4" s="207"/>
      <c r="E4" s="207"/>
      <c r="F4" s="207"/>
      <c r="G4" s="207"/>
      <c r="H4" s="207"/>
      <c r="I4" s="208"/>
    </row>
    <row r="5" spans="1:9" ht="12" customHeight="1" x14ac:dyDescent="0.25">
      <c r="A5" s="192"/>
      <c r="B5" s="67" t="str">
        <f ca="1">DFIE!$B$59</f>
        <v>Spalte</v>
      </c>
      <c r="C5" s="68" t="s">
        <v>30</v>
      </c>
      <c r="D5" s="68" t="s">
        <v>31</v>
      </c>
      <c r="E5" s="68" t="s">
        <v>32</v>
      </c>
      <c r="F5" s="68" t="s">
        <v>43</v>
      </c>
      <c r="G5" s="111" t="s">
        <v>42</v>
      </c>
      <c r="H5" s="68" t="s">
        <v>33</v>
      </c>
      <c r="I5" s="109" t="s">
        <v>34</v>
      </c>
    </row>
    <row r="6" spans="1:9" ht="12" customHeight="1" x14ac:dyDescent="0.25">
      <c r="A6" s="192"/>
      <c r="B6" s="67" t="str">
        <f ca="1">DFIE!$B$60</f>
        <v>Formel</v>
      </c>
      <c r="C6" s="132"/>
      <c r="D6" s="132"/>
      <c r="E6" s="132"/>
      <c r="F6" s="107" t="s">
        <v>60</v>
      </c>
      <c r="G6" s="209"/>
      <c r="H6" s="107" t="s">
        <v>61</v>
      </c>
      <c r="I6" s="210" t="str">
        <f ca="1">DFIE!$B$193</f>
        <v>H / H[Schweiz] * 100</v>
      </c>
    </row>
    <row r="7" spans="1:9" ht="38.25" customHeight="1" x14ac:dyDescent="0.25">
      <c r="B7" s="220"/>
      <c r="C7" s="227" t="str">
        <f ca="1">DFIE!B186</f>
        <v>ASG 2020</v>
      </c>
      <c r="D7" s="228" t="str">
        <f ca="1">DFIE!$B$187</f>
        <v>ASG 2021</v>
      </c>
      <c r="E7" s="229" t="str">
        <f ca="1">DFIE!$B$188</f>
        <v>ASG 2022</v>
      </c>
      <c r="F7" s="224" t="str">
        <f ca="1">DFIE!$B$189</f>
        <v>Ressourcen-
potenzial</v>
      </c>
      <c r="G7" s="225" t="str">
        <f ca="1">DFIE!$B$190</f>
        <v>Massgebende
Wohnbevölkerung</v>
      </c>
      <c r="H7" s="63" t="str">
        <f ca="1">DFIE!$B$191</f>
        <v>Ressourcen-
potenzial pro
Einwohner</v>
      </c>
      <c r="I7" s="226" t="str">
        <f ca="1">DFIE!$B$192</f>
        <v>Ressourcen-
index</v>
      </c>
    </row>
    <row r="8" spans="1:9" ht="12.75" customHeight="1" x14ac:dyDescent="0.25">
      <c r="B8" s="67" t="str">
        <f ca="1">DFIE!$B$62</f>
        <v>Einheit</v>
      </c>
      <c r="C8" s="35" t="str">
        <f ca="1">DFIE!$B$64</f>
        <v>CHF 1'000</v>
      </c>
      <c r="D8" s="35" t="str">
        <f ca="1">DFIE!$B$64</f>
        <v>CHF 1'000</v>
      </c>
      <c r="E8" s="35" t="str">
        <f ca="1">DFIE!$B$64</f>
        <v>CHF 1'000</v>
      </c>
      <c r="F8" s="35" t="str">
        <f ca="1">DFIE!$B$64</f>
        <v>CHF 1'000</v>
      </c>
      <c r="G8" s="114" t="str">
        <f ca="1">DFIE!$B$65</f>
        <v>Anzahl</v>
      </c>
      <c r="H8" s="35" t="str">
        <f ca="1">DFIE!$B$63</f>
        <v>CHF</v>
      </c>
      <c r="I8" s="113" t="str">
        <f ca="1">DFIE!$B$66</f>
        <v>Punkte</v>
      </c>
    </row>
    <row r="9" spans="1:9" x14ac:dyDescent="0.25">
      <c r="B9" s="31" t="str">
        <f ca="1">DFIE!$B$32</f>
        <v>Zürich</v>
      </c>
      <c r="C9" s="154">
        <f>ASG!H9</f>
        <v>58832570.801965505</v>
      </c>
      <c r="D9" s="154">
        <f>ASG!H37</f>
        <v>63244071.362420805</v>
      </c>
      <c r="E9" s="154">
        <f>ASG!H65</f>
        <v>65478097.19263266</v>
      </c>
      <c r="F9" s="154">
        <f>AVERAGE(C9:E9)</f>
        <v>62518246.452339649</v>
      </c>
      <c r="G9" s="93">
        <f>BEV!F9</f>
        <v>1569617.5</v>
      </c>
      <c r="H9" s="94">
        <f t="shared" ref="H9:H35" si="0">F9/G9*1000</f>
        <v>39830.243006553923</v>
      </c>
      <c r="I9" s="230">
        <f>H9/$H$35*100</f>
        <v>116.70964252786342</v>
      </c>
    </row>
    <row r="10" spans="1:9" x14ac:dyDescent="0.25">
      <c r="B10" s="16" t="str">
        <f ca="1">DFIE!$B$33</f>
        <v>Bern</v>
      </c>
      <c r="C10" s="156">
        <f>ASG!H10</f>
        <v>24646649.798618015</v>
      </c>
      <c r="D10" s="156">
        <f>ASG!H38</f>
        <v>26455459.037312523</v>
      </c>
      <c r="E10" s="156">
        <f>ASG!H66</f>
        <v>26872076.636144653</v>
      </c>
      <c r="F10" s="156">
        <f t="shared" ref="F10:F34" si="1">AVERAGE(C10:E10)</f>
        <v>25991395.157358397</v>
      </c>
      <c r="G10" s="29">
        <f>BEV!F10</f>
        <v>1052398.1666666667</v>
      </c>
      <c r="H10" s="95">
        <f t="shared" si="0"/>
        <v>24697.301820358291</v>
      </c>
      <c r="I10" s="222">
        <f t="shared" ref="I10:I34" si="2">H10/$H$35*100</f>
        <v>72.367453705529144</v>
      </c>
    </row>
    <row r="11" spans="1:9" x14ac:dyDescent="0.25">
      <c r="B11" s="15" t="str">
        <f ca="1">DFIE!$B$34</f>
        <v>Luzern</v>
      </c>
      <c r="C11" s="158">
        <f>ASG!H11</f>
        <v>12085796.008271122</v>
      </c>
      <c r="D11" s="158">
        <f>ASG!H39</f>
        <v>13389195.750967566</v>
      </c>
      <c r="E11" s="158">
        <f>ASG!H67</f>
        <v>14160255.744748062</v>
      </c>
      <c r="F11" s="158">
        <f t="shared" si="1"/>
        <v>13211749.167995585</v>
      </c>
      <c r="G11" s="30">
        <f>BEV!F11</f>
        <v>421630.5</v>
      </c>
      <c r="H11" s="96">
        <f t="shared" si="0"/>
        <v>31334.899083428703</v>
      </c>
      <c r="I11" s="221">
        <f t="shared" si="2"/>
        <v>91.816785302361296</v>
      </c>
    </row>
    <row r="12" spans="1:9" x14ac:dyDescent="0.25">
      <c r="B12" s="16" t="str">
        <f ca="1">DFIE!$B$35</f>
        <v>Uri</v>
      </c>
      <c r="C12" s="156">
        <f>ASG!H12</f>
        <v>831459.04546564445</v>
      </c>
      <c r="D12" s="156">
        <f>ASG!H40</f>
        <v>915563.04937701684</v>
      </c>
      <c r="E12" s="156">
        <f>ASG!H68</f>
        <v>925727.02616914234</v>
      </c>
      <c r="F12" s="156">
        <f t="shared" si="1"/>
        <v>890916.37367060117</v>
      </c>
      <c r="G12" s="29">
        <f>BEV!F12</f>
        <v>37278</v>
      </c>
      <c r="H12" s="95">
        <f t="shared" si="0"/>
        <v>23899.253545538955</v>
      </c>
      <c r="I12" s="222">
        <f t="shared" si="2"/>
        <v>70.029031395155158</v>
      </c>
    </row>
    <row r="13" spans="1:9" x14ac:dyDescent="0.25">
      <c r="B13" s="15" t="str">
        <f ca="1">DFIE!$B$36</f>
        <v>Schwyz</v>
      </c>
      <c r="C13" s="158">
        <f>ASG!H13</f>
        <v>9476951.1251544058</v>
      </c>
      <c r="D13" s="158">
        <f>ASG!H41</f>
        <v>10886353.633394273</v>
      </c>
      <c r="E13" s="158">
        <f>ASG!H69</f>
        <v>10773832.761509493</v>
      </c>
      <c r="F13" s="158">
        <f t="shared" si="1"/>
        <v>10379045.84001939</v>
      </c>
      <c r="G13" s="30">
        <f>BEV!F13</f>
        <v>163736.5</v>
      </c>
      <c r="H13" s="96">
        <f t="shared" si="0"/>
        <v>63388.711985534013</v>
      </c>
      <c r="I13" s="221">
        <f t="shared" si="2"/>
        <v>185.74011499041171</v>
      </c>
    </row>
    <row r="14" spans="1:9" x14ac:dyDescent="0.25">
      <c r="B14" s="16" t="str">
        <f ca="1">DFIE!$B$37</f>
        <v>Obwalden</v>
      </c>
      <c r="C14" s="156">
        <f>ASG!H14</f>
        <v>1393044.3679813852</v>
      </c>
      <c r="D14" s="156">
        <f>ASG!H42</f>
        <v>1392475.9359934586</v>
      </c>
      <c r="E14" s="156">
        <f>ASG!H70</f>
        <v>1471225.9467444131</v>
      </c>
      <c r="F14" s="156">
        <f t="shared" si="1"/>
        <v>1418915.416906419</v>
      </c>
      <c r="G14" s="29">
        <f>BEV!F14</f>
        <v>38684.166666666664</v>
      </c>
      <c r="H14" s="95">
        <f t="shared" si="0"/>
        <v>36679.487738043186</v>
      </c>
      <c r="I14" s="222">
        <f t="shared" si="2"/>
        <v>107.47737344479098</v>
      </c>
    </row>
    <row r="15" spans="1:9" x14ac:dyDescent="0.25">
      <c r="B15" s="15" t="str">
        <f ca="1">DFIE!$B$38</f>
        <v>Nidwalden</v>
      </c>
      <c r="C15" s="158">
        <f>ASG!H15</f>
        <v>2238946.8883375651</v>
      </c>
      <c r="D15" s="158">
        <f>ASG!H43</f>
        <v>2372690.9926860696</v>
      </c>
      <c r="E15" s="158">
        <f>ASG!H71</f>
        <v>2479663.4235612554</v>
      </c>
      <c r="F15" s="158">
        <f t="shared" si="1"/>
        <v>2363767.1015282967</v>
      </c>
      <c r="G15" s="30">
        <f>BEV!F15</f>
        <v>43965.333333333336</v>
      </c>
      <c r="H15" s="96">
        <f t="shared" si="0"/>
        <v>53764.339362716761</v>
      </c>
      <c r="I15" s="221">
        <f t="shared" si="2"/>
        <v>157.53900438761849</v>
      </c>
    </row>
    <row r="16" spans="1:9" x14ac:dyDescent="0.25">
      <c r="B16" s="16" t="str">
        <f ca="1">DFIE!$B$39</f>
        <v>Glarus</v>
      </c>
      <c r="C16" s="156">
        <f>ASG!H16</f>
        <v>961017.53524680086</v>
      </c>
      <c r="D16" s="156">
        <f>ASG!H44</f>
        <v>1004033.269795859</v>
      </c>
      <c r="E16" s="156">
        <f>ASG!H72</f>
        <v>1052622.3511485381</v>
      </c>
      <c r="F16" s="156">
        <f t="shared" si="1"/>
        <v>1005891.0520637328</v>
      </c>
      <c r="G16" s="29">
        <f>BEV!F16</f>
        <v>41411.333333333336</v>
      </c>
      <c r="H16" s="95">
        <f t="shared" si="0"/>
        <v>24290.235814601463</v>
      </c>
      <c r="I16" s="222">
        <f t="shared" si="2"/>
        <v>71.174678456598144</v>
      </c>
    </row>
    <row r="17" spans="2:9" x14ac:dyDescent="0.25">
      <c r="B17" s="15" t="str">
        <f ca="1">DFIE!$B$40</f>
        <v>Zug</v>
      </c>
      <c r="C17" s="158">
        <f>ASG!H17</f>
        <v>10721901.606300887</v>
      </c>
      <c r="D17" s="158">
        <f>ASG!H45</f>
        <v>13654925.456813032</v>
      </c>
      <c r="E17" s="158">
        <f>ASG!H73</f>
        <v>14067938.598377077</v>
      </c>
      <c r="F17" s="158">
        <f t="shared" si="1"/>
        <v>12814921.887163667</v>
      </c>
      <c r="G17" s="30">
        <f>BEV!F17</f>
        <v>130851.33333333333</v>
      </c>
      <c r="H17" s="96">
        <f t="shared" si="0"/>
        <v>97934.973688947255</v>
      </c>
      <c r="I17" s="221">
        <f t="shared" si="2"/>
        <v>286.96675961359279</v>
      </c>
    </row>
    <row r="18" spans="2:9" x14ac:dyDescent="0.25">
      <c r="B18" s="16" t="str">
        <f ca="1">DFIE!$B$41</f>
        <v>Freiburg</v>
      </c>
      <c r="C18" s="156">
        <f>ASG!H18</f>
        <v>7761121.4544741558</v>
      </c>
      <c r="D18" s="156">
        <f>ASG!H46</f>
        <v>8001782.6390892286</v>
      </c>
      <c r="E18" s="156">
        <f>ASG!H74</f>
        <v>8518061.4056479447</v>
      </c>
      <c r="F18" s="156">
        <f t="shared" si="1"/>
        <v>8093655.166403777</v>
      </c>
      <c r="G18" s="29">
        <f>BEV!F18</f>
        <v>329883</v>
      </c>
      <c r="H18" s="95">
        <f t="shared" si="0"/>
        <v>24534.926523657712</v>
      </c>
      <c r="I18" s="222">
        <f t="shared" si="2"/>
        <v>71.891665424996631</v>
      </c>
    </row>
    <row r="19" spans="2:9" x14ac:dyDescent="0.25">
      <c r="B19" s="15" t="str">
        <f ca="1">DFIE!$B$42</f>
        <v>Solothurn</v>
      </c>
      <c r="C19" s="158">
        <f>ASG!H19</f>
        <v>6590602.3883869462</v>
      </c>
      <c r="D19" s="158">
        <f>ASG!H47</f>
        <v>6896682.9120877637</v>
      </c>
      <c r="E19" s="158">
        <f>ASG!H75</f>
        <v>6785881.545578137</v>
      </c>
      <c r="F19" s="158">
        <f t="shared" si="1"/>
        <v>6757722.2820176156</v>
      </c>
      <c r="G19" s="30">
        <f>BEV!F19</f>
        <v>281098.33333333331</v>
      </c>
      <c r="H19" s="96">
        <f t="shared" si="0"/>
        <v>24040.421022362101</v>
      </c>
      <c r="I19" s="221">
        <f t="shared" si="2"/>
        <v>70.442677020010606</v>
      </c>
    </row>
    <row r="20" spans="2:9" x14ac:dyDescent="0.25">
      <c r="B20" s="16" t="str">
        <f ca="1">DFIE!$B$43</f>
        <v>Basel-Stadt</v>
      </c>
      <c r="C20" s="156">
        <f>ASG!H20</f>
        <v>9673988.9909124561</v>
      </c>
      <c r="D20" s="156">
        <f>ASG!H48</f>
        <v>10610614.008412685</v>
      </c>
      <c r="E20" s="156">
        <f>ASG!H76</f>
        <v>11526979.498382444</v>
      </c>
      <c r="F20" s="156">
        <f t="shared" si="1"/>
        <v>10603860.832569195</v>
      </c>
      <c r="G20" s="29">
        <f>BEV!F20</f>
        <v>199289.83333333334</v>
      </c>
      <c r="H20" s="95">
        <f t="shared" si="0"/>
        <v>53208.237747046107</v>
      </c>
      <c r="I20" s="222">
        <f t="shared" si="2"/>
        <v>155.90952849505592</v>
      </c>
    </row>
    <row r="21" spans="2:9" x14ac:dyDescent="0.25">
      <c r="B21" s="15" t="str">
        <f ca="1">DFIE!$B$44</f>
        <v>Basel-Landschaft</v>
      </c>
      <c r="C21" s="158">
        <f>ASG!H21</f>
        <v>9512317.6369927786</v>
      </c>
      <c r="D21" s="158">
        <f>ASG!H49</f>
        <v>9838173.0948754959</v>
      </c>
      <c r="E21" s="158">
        <f>ASG!H77</f>
        <v>10072685.974831345</v>
      </c>
      <c r="F21" s="158">
        <f t="shared" si="1"/>
        <v>9807725.5688998718</v>
      </c>
      <c r="G21" s="30">
        <f>BEV!F21</f>
        <v>294010</v>
      </c>
      <c r="H21" s="96">
        <f t="shared" si="0"/>
        <v>33358.476136525533</v>
      </c>
      <c r="I21" s="221">
        <f t="shared" si="2"/>
        <v>97.746223253710411</v>
      </c>
    </row>
    <row r="22" spans="2:9" x14ac:dyDescent="0.25">
      <c r="B22" s="16" t="str">
        <f ca="1">DFIE!$B$45</f>
        <v>Schaffhausen</v>
      </c>
      <c r="C22" s="156">
        <f>ASG!H22</f>
        <v>2747380.0130300466</v>
      </c>
      <c r="D22" s="156">
        <f>ASG!H50</f>
        <v>3101867.7672517118</v>
      </c>
      <c r="E22" s="156">
        <f>ASG!H78</f>
        <v>3491006.5204460095</v>
      </c>
      <c r="F22" s="156">
        <f t="shared" si="1"/>
        <v>3113418.1002425891</v>
      </c>
      <c r="G22" s="29">
        <f>BEV!F22</f>
        <v>84386.833333333328</v>
      </c>
      <c r="H22" s="95">
        <f t="shared" si="0"/>
        <v>36894.595723771155</v>
      </c>
      <c r="I22" s="222">
        <f t="shared" si="2"/>
        <v>108.10767781212986</v>
      </c>
    </row>
    <row r="23" spans="2:9" x14ac:dyDescent="0.25">
      <c r="B23" s="15" t="str">
        <f ca="1">DFIE!$B$46</f>
        <v>Appenzell A.Rh.</v>
      </c>
      <c r="C23" s="158">
        <f>ASG!H23</f>
        <v>1528896.531762088</v>
      </c>
      <c r="D23" s="158">
        <f>ASG!H51</f>
        <v>1653668.7764537199</v>
      </c>
      <c r="E23" s="158">
        <f>ASG!H79</f>
        <v>1755049.9345682838</v>
      </c>
      <c r="F23" s="158">
        <f t="shared" si="1"/>
        <v>1645871.7475946974</v>
      </c>
      <c r="G23" s="30">
        <f>BEV!F23</f>
        <v>55693</v>
      </c>
      <c r="H23" s="96">
        <f t="shared" si="0"/>
        <v>29552.578377797883</v>
      </c>
      <c r="I23" s="221">
        <f t="shared" si="2"/>
        <v>86.594271033745002</v>
      </c>
    </row>
    <row r="24" spans="2:9" x14ac:dyDescent="0.25">
      <c r="B24" s="16" t="str">
        <f ca="1">DFIE!$B$47</f>
        <v>Appenzell I.Rh.</v>
      </c>
      <c r="C24" s="156">
        <f>ASG!H24</f>
        <v>551996.10617583164</v>
      </c>
      <c r="D24" s="156">
        <f>ASG!H52</f>
        <v>584084.72516724735</v>
      </c>
      <c r="E24" s="156">
        <f>ASG!H80</f>
        <v>607490.83102136245</v>
      </c>
      <c r="F24" s="156">
        <f t="shared" si="1"/>
        <v>581190.55412148044</v>
      </c>
      <c r="G24" s="29">
        <f>BEV!F24</f>
        <v>16378</v>
      </c>
      <c r="H24" s="95">
        <f t="shared" si="0"/>
        <v>35486.051662075981</v>
      </c>
      <c r="I24" s="222">
        <f t="shared" si="2"/>
        <v>103.98039508633433</v>
      </c>
    </row>
    <row r="25" spans="2:9" x14ac:dyDescent="0.25">
      <c r="B25" s="15" t="str">
        <f ca="1">DFIE!$B$48</f>
        <v>St. Gallen</v>
      </c>
      <c r="C25" s="158">
        <f>ASG!H25</f>
        <v>13257784.122999175</v>
      </c>
      <c r="D25" s="158">
        <f>ASG!H53</f>
        <v>14038518.756678324</v>
      </c>
      <c r="E25" s="158">
        <f>ASG!H81</f>
        <v>14544592.910256753</v>
      </c>
      <c r="F25" s="158">
        <f t="shared" si="1"/>
        <v>13946965.263311416</v>
      </c>
      <c r="G25" s="30">
        <f>BEV!F25</f>
        <v>520349.83333333331</v>
      </c>
      <c r="H25" s="96">
        <f t="shared" si="0"/>
        <v>26803.055117684766</v>
      </c>
      <c r="I25" s="221">
        <f t="shared" si="2"/>
        <v>78.537682557570122</v>
      </c>
    </row>
    <row r="26" spans="2:9" x14ac:dyDescent="0.25">
      <c r="B26" s="16" t="str">
        <f ca="1">DFIE!$B$49</f>
        <v>Graubünden</v>
      </c>
      <c r="C26" s="156">
        <f>ASG!H26</f>
        <v>6165282.5695939995</v>
      </c>
      <c r="D26" s="156">
        <f>ASG!H54</f>
        <v>6626267.4184083315</v>
      </c>
      <c r="E26" s="156">
        <f>ASG!H82</f>
        <v>7094608.4788787272</v>
      </c>
      <c r="F26" s="156">
        <f t="shared" si="1"/>
        <v>6628719.4889603527</v>
      </c>
      <c r="G26" s="29">
        <f>BEV!F26</f>
        <v>207731.83333333334</v>
      </c>
      <c r="H26" s="95">
        <f t="shared" si="0"/>
        <v>31909.984052967422</v>
      </c>
      <c r="I26" s="222">
        <f t="shared" si="2"/>
        <v>93.50188577254842</v>
      </c>
    </row>
    <row r="27" spans="2:9" x14ac:dyDescent="0.25">
      <c r="B27" s="15" t="str">
        <f ca="1">DFIE!$B$50</f>
        <v>Aargau</v>
      </c>
      <c r="C27" s="158">
        <f>ASG!H27</f>
        <v>18581999.521270987</v>
      </c>
      <c r="D27" s="158">
        <f>ASG!H55</f>
        <v>19181101.07101978</v>
      </c>
      <c r="E27" s="158">
        <f>ASG!H83</f>
        <v>19849850.483173672</v>
      </c>
      <c r="F27" s="158">
        <f t="shared" si="1"/>
        <v>19204317.025154814</v>
      </c>
      <c r="G27" s="30">
        <f>BEV!F27</f>
        <v>704060.16666666663</v>
      </c>
      <c r="H27" s="96">
        <f t="shared" si="0"/>
        <v>27276.528249107709</v>
      </c>
      <c r="I27" s="221">
        <f t="shared" si="2"/>
        <v>79.925042406362095</v>
      </c>
    </row>
    <row r="28" spans="2:9" x14ac:dyDescent="0.25">
      <c r="B28" s="16" t="str">
        <f ca="1">DFIE!$B$51</f>
        <v>Thurgau</v>
      </c>
      <c r="C28" s="156">
        <f>ASG!H28</f>
        <v>7641023.5621762322</v>
      </c>
      <c r="D28" s="156">
        <f>ASG!H56</f>
        <v>7857562.6647311188</v>
      </c>
      <c r="E28" s="156">
        <f>ASG!H84</f>
        <v>7812547.659265249</v>
      </c>
      <c r="F28" s="156">
        <f t="shared" si="1"/>
        <v>7770377.9620575337</v>
      </c>
      <c r="G28" s="29">
        <f>BEV!F28</f>
        <v>286644.33333333331</v>
      </c>
      <c r="H28" s="95">
        <f t="shared" si="0"/>
        <v>27108.081543762833</v>
      </c>
      <c r="I28" s="222">
        <f t="shared" si="2"/>
        <v>79.431463826824881</v>
      </c>
    </row>
    <row r="29" spans="2:9" x14ac:dyDescent="0.25">
      <c r="B29" s="15" t="str">
        <f ca="1">DFIE!$B$52</f>
        <v>Tessin</v>
      </c>
      <c r="C29" s="158">
        <f>ASG!H29</f>
        <v>10435836.459749712</v>
      </c>
      <c r="D29" s="158">
        <f>ASG!H57</f>
        <v>11034088.61282903</v>
      </c>
      <c r="E29" s="158">
        <f>ASG!H85</f>
        <v>11643096.501062196</v>
      </c>
      <c r="F29" s="158">
        <f t="shared" si="1"/>
        <v>11037673.857880313</v>
      </c>
      <c r="G29" s="30">
        <f>BEV!F29</f>
        <v>354957.5</v>
      </c>
      <c r="H29" s="96">
        <f t="shared" si="0"/>
        <v>31095.761768325257</v>
      </c>
      <c r="I29" s="221">
        <f t="shared" si="2"/>
        <v>91.116070758485591</v>
      </c>
    </row>
    <row r="30" spans="2:9" x14ac:dyDescent="0.25">
      <c r="B30" s="16" t="str">
        <f ca="1">DFIE!$B$53</f>
        <v>Waadt</v>
      </c>
      <c r="C30" s="156">
        <f>ASG!H30</f>
        <v>26773890.686665066</v>
      </c>
      <c r="D30" s="156">
        <f>ASG!H58</f>
        <v>28512752.785341747</v>
      </c>
      <c r="E30" s="156">
        <f>ASG!H86</f>
        <v>29226891.832713392</v>
      </c>
      <c r="F30" s="156">
        <f t="shared" si="1"/>
        <v>28171178.434906736</v>
      </c>
      <c r="G30" s="29">
        <f>BEV!F30</f>
        <v>828126.5</v>
      </c>
      <c r="H30" s="95">
        <f t="shared" si="0"/>
        <v>34017.965171874988</v>
      </c>
      <c r="I30" s="222">
        <f t="shared" si="2"/>
        <v>99.678642535059396</v>
      </c>
    </row>
    <row r="31" spans="2:9" x14ac:dyDescent="0.25">
      <c r="B31" s="15" t="str">
        <f ca="1">DFIE!$B$54</f>
        <v>Wallis</v>
      </c>
      <c r="C31" s="158">
        <f>ASG!H31</f>
        <v>7767111.4815336596</v>
      </c>
      <c r="D31" s="158">
        <f>ASG!H59</f>
        <v>8390859.3264775146</v>
      </c>
      <c r="E31" s="158">
        <f>ASG!H87</f>
        <v>9099058.5771173835</v>
      </c>
      <c r="F31" s="158">
        <f t="shared" si="1"/>
        <v>8419009.7950428519</v>
      </c>
      <c r="G31" s="30">
        <f>BEV!F31</f>
        <v>359777.33333333331</v>
      </c>
      <c r="H31" s="96">
        <f t="shared" si="0"/>
        <v>23400.612031449597</v>
      </c>
      <c r="I31" s="221">
        <f t="shared" si="2"/>
        <v>68.567923742627272</v>
      </c>
    </row>
    <row r="32" spans="2:9" x14ac:dyDescent="0.25">
      <c r="B32" s="16" t="str">
        <f ca="1">DFIE!$B$55</f>
        <v>Neuenburg</v>
      </c>
      <c r="C32" s="156">
        <f>ASG!H32</f>
        <v>4381962.9821399171</v>
      </c>
      <c r="D32" s="156">
        <f>ASG!H60</f>
        <v>4283464.569890975</v>
      </c>
      <c r="E32" s="156">
        <f>ASG!H88</f>
        <v>5403551.8153325841</v>
      </c>
      <c r="F32" s="156">
        <f t="shared" si="1"/>
        <v>4689659.7891211584</v>
      </c>
      <c r="G32" s="29">
        <f>BEV!F32</f>
        <v>177792.33333333334</v>
      </c>
      <c r="H32" s="95">
        <f t="shared" si="0"/>
        <v>26377.176682465637</v>
      </c>
      <c r="I32" s="222">
        <f t="shared" si="2"/>
        <v>77.289783569693711</v>
      </c>
    </row>
    <row r="33" spans="1:9" x14ac:dyDescent="0.25">
      <c r="B33" s="15" t="str">
        <f ca="1">DFIE!$B$56</f>
        <v>Genf</v>
      </c>
      <c r="C33" s="158">
        <f>ASG!H33</f>
        <v>23292543.136109039</v>
      </c>
      <c r="D33" s="158">
        <f>ASG!H61</f>
        <v>26296836.661086235</v>
      </c>
      <c r="E33" s="158">
        <f>ASG!H89</f>
        <v>31852445.113286</v>
      </c>
      <c r="F33" s="158">
        <f t="shared" si="1"/>
        <v>27147274.970160425</v>
      </c>
      <c r="G33" s="30">
        <f>BEV!F33</f>
        <v>512107.83333333331</v>
      </c>
      <c r="H33" s="96">
        <f t="shared" si="0"/>
        <v>53010.8567046467</v>
      </c>
      <c r="I33" s="221">
        <f t="shared" si="2"/>
        <v>155.33116720068918</v>
      </c>
    </row>
    <row r="34" spans="1:9" x14ac:dyDescent="0.25">
      <c r="B34" s="16" t="str">
        <f ca="1">DFIE!$B$57</f>
        <v>Jura</v>
      </c>
      <c r="C34" s="156">
        <f>ASG!H34</f>
        <v>1520282.7986650201</v>
      </c>
      <c r="D34" s="156">
        <f>ASG!H62</f>
        <v>1639224.2083682909</v>
      </c>
      <c r="E34" s="156">
        <f>ASG!H90</f>
        <v>1727533.0989978455</v>
      </c>
      <c r="F34" s="156">
        <f t="shared" si="1"/>
        <v>1629013.368677052</v>
      </c>
      <c r="G34" s="29">
        <f>BEV!F34</f>
        <v>74054.5</v>
      </c>
      <c r="H34" s="95">
        <f t="shared" si="0"/>
        <v>21997.493314748623</v>
      </c>
      <c r="I34" s="222">
        <f t="shared" si="2"/>
        <v>64.456538235303611</v>
      </c>
    </row>
    <row r="35" spans="1:9" x14ac:dyDescent="0.25">
      <c r="A35" s="40"/>
      <c r="B35" s="14" t="str">
        <f ca="1">DFIE!$B$58</f>
        <v>Schweiz</v>
      </c>
      <c r="C35" s="55">
        <f>SUM(C9:C34)</f>
        <v>279372357.61997849</v>
      </c>
      <c r="D35" s="55">
        <f>SUM(D9:D34)</f>
        <v>301862318.48692983</v>
      </c>
      <c r="E35" s="55">
        <f>SUM(E9:E34)</f>
        <v>318292771.86159456</v>
      </c>
      <c r="F35" s="55">
        <f>SUM(F9:F34)</f>
        <v>299842482.65616769</v>
      </c>
      <c r="G35" s="26">
        <f>SUM(G9:G34)</f>
        <v>8785914</v>
      </c>
      <c r="H35" s="55">
        <f t="shared" si="0"/>
        <v>34127.636880598613</v>
      </c>
      <c r="I35" s="223">
        <v>100</v>
      </c>
    </row>
    <row r="36" spans="1:9" ht="10.5" customHeight="1" x14ac:dyDescent="0.25">
      <c r="C36" s="217"/>
      <c r="D36" s="218"/>
      <c r="E36" s="219"/>
    </row>
    <row r="38" spans="1:9" ht="22.5" customHeight="1" x14ac:dyDescent="0.25">
      <c r="B38" s="211" t="str">
        <f ca="1">DFIE!$B$194</f>
        <v>ASG-Index
Standardabweichung</v>
      </c>
      <c r="C38" s="212">
        <f t="array" ref="C38">_xlfn.STDEV.P(100*(C9:C34/$G9:$G34)/(C$35/$G$35))</f>
        <v>42.792413130161556</v>
      </c>
      <c r="D38" s="213">
        <f t="array" ref="D38">_xlfn.STDEV.P(100*(D9:D34/$G9:$G34)/(D$35/$G$35))</f>
        <v>50.941580190990706</v>
      </c>
      <c r="E38" s="214">
        <f t="array" ref="E38">_xlfn.STDEV.P(100*(E9:E34/$G9:$G34)/(E$35/$G$35))</f>
        <v>50.330947600125839</v>
      </c>
      <c r="F38" s="212"/>
      <c r="G38" s="213"/>
      <c r="H38" s="215" t="str">
        <f ca="1">DFIE!$B$195</f>
        <v>Ressourcenindex
Standardabweichung</v>
      </c>
      <c r="I38" s="216">
        <f>_xlfn.STDEV.P(I9:I34)</f>
        <v>48.049195111076315</v>
      </c>
    </row>
  </sheetData>
  <pageMargins left="0.78740157480314965" right="0.70866141732283472" top="0.9055118110236221" bottom="0.59055118110236227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4"/>
  <dimension ref="A1:I23"/>
  <sheetViews>
    <sheetView showGridLines="0" zoomScaleNormal="10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3.6640625" customWidth="1"/>
    <col min="3" max="3" width="45.44140625" customWidth="1"/>
    <col min="4" max="5" width="12.5546875" customWidth="1"/>
    <col min="6" max="9" width="15.6640625" customWidth="1"/>
  </cols>
  <sheetData>
    <row r="1" spans="1:9" ht="22.5" customHeight="1" x14ac:dyDescent="0.3">
      <c r="B1" s="117" t="str">
        <f ca="1">DFIE!$B$196</f>
        <v>Standardisierter Steuersatz (SST) 2026</v>
      </c>
      <c r="C1" s="197"/>
      <c r="D1" s="205"/>
      <c r="E1" s="199"/>
    </row>
    <row r="2" spans="1:9" ht="12.75" customHeight="1" x14ac:dyDescent="0.25">
      <c r="A2" s="206"/>
      <c r="C2" s="206"/>
      <c r="D2" s="207"/>
      <c r="E2" s="208"/>
    </row>
    <row r="3" spans="1:9" ht="0.75" customHeight="1" x14ac:dyDescent="0.25">
      <c r="A3" s="206"/>
      <c r="C3" s="206"/>
      <c r="D3" s="207"/>
      <c r="E3" s="208"/>
    </row>
    <row r="4" spans="1:9" ht="0.75" customHeight="1" x14ac:dyDescent="0.25">
      <c r="A4" s="206"/>
      <c r="C4" s="206"/>
      <c r="D4" s="207"/>
      <c r="E4" s="208"/>
    </row>
    <row r="5" spans="1:9" ht="0.75" customHeight="1" x14ac:dyDescent="0.25">
      <c r="A5" s="206"/>
      <c r="C5" s="206"/>
      <c r="D5" s="207"/>
      <c r="E5" s="208"/>
    </row>
    <row r="6" spans="1:9" ht="0.75" customHeight="1" x14ac:dyDescent="0.25">
      <c r="A6" s="206"/>
      <c r="C6" s="206"/>
      <c r="D6" s="207"/>
      <c r="E6" s="208"/>
    </row>
    <row r="7" spans="1:9" ht="0.75" customHeight="1" x14ac:dyDescent="0.25">
      <c r="A7" s="206"/>
      <c r="C7" s="206"/>
      <c r="D7" s="207"/>
      <c r="E7" s="208"/>
    </row>
    <row r="8" spans="1:9" ht="15" customHeight="1" x14ac:dyDescent="0.25">
      <c r="B8" s="232"/>
      <c r="C8" s="233"/>
      <c r="D8" s="257" t="str">
        <f ca="1">DFIE!$B$62</f>
        <v>Einheit</v>
      </c>
      <c r="E8" s="257" t="str">
        <f ca="1">DFIE!B60</f>
        <v>Formel</v>
      </c>
      <c r="F8" s="266">
        <f>DFIE!$G$3-6</f>
        <v>2020</v>
      </c>
      <c r="G8" s="267">
        <f>DFIE!$G$3-5</f>
        <v>2021</v>
      </c>
      <c r="H8" s="268">
        <f>DFIE!$G$3-4</f>
        <v>2022</v>
      </c>
      <c r="I8" s="269" t="str">
        <f>F8 &amp; " - " &amp; H8</f>
        <v>2020 - 2022</v>
      </c>
    </row>
    <row r="9" spans="1:9" ht="15" customHeight="1" x14ac:dyDescent="0.25">
      <c r="B9" s="240" t="s">
        <v>99</v>
      </c>
      <c r="C9" s="233" t="str">
        <f ca="1">DFIE!$B$197</f>
        <v>Steuereinnahmen der Kantone und Gemeinden</v>
      </c>
      <c r="D9" s="258" t="str">
        <f ca="1">DFIE!$B$64</f>
        <v>CHF 1'000</v>
      </c>
      <c r="E9" s="257"/>
      <c r="F9" s="254">
        <v>80100998.747390002</v>
      </c>
      <c r="G9" s="255">
        <v>82557925.620440006</v>
      </c>
      <c r="H9" s="256">
        <v>86975725.326250002</v>
      </c>
      <c r="I9" s="270"/>
    </row>
    <row r="10" spans="1:9" ht="15" customHeight="1" x14ac:dyDescent="0.25">
      <c r="B10" s="240" t="s">
        <v>100</v>
      </c>
      <c r="C10" s="233" t="str">
        <f ca="1">DFIE!$B$198</f>
        <v>Debitorenverluste auf Steuereinnahmen</v>
      </c>
      <c r="D10" s="258" t="str">
        <f ca="1">DFIE!$B$64</f>
        <v>CHF 1'000</v>
      </c>
      <c r="E10" s="257"/>
      <c r="F10" s="127">
        <v>605935.85225</v>
      </c>
      <c r="G10" s="51">
        <v>657523.17438999994</v>
      </c>
      <c r="H10" s="152">
        <v>612756.68339999998</v>
      </c>
      <c r="I10" s="234"/>
    </row>
    <row r="11" spans="1:9" ht="15" customHeight="1" x14ac:dyDescent="0.25">
      <c r="B11" s="240" t="s">
        <v>30</v>
      </c>
      <c r="C11" s="233" t="str">
        <f ca="1">DFIE!$B$199</f>
        <v>Einnahmen direkte Bundessteuer (DBSt)</v>
      </c>
      <c r="D11" s="258" t="str">
        <f ca="1">DFIE!$B$64</f>
        <v>CHF 1'000</v>
      </c>
      <c r="E11" s="257"/>
      <c r="F11" s="254">
        <v>24214238.703499999</v>
      </c>
      <c r="G11" s="255">
        <v>25462611.000259999</v>
      </c>
      <c r="H11" s="256">
        <v>26398974.22944</v>
      </c>
      <c r="I11" s="234"/>
    </row>
    <row r="12" spans="1:9" ht="15" customHeight="1" x14ac:dyDescent="0.25">
      <c r="B12" s="240" t="s">
        <v>31</v>
      </c>
      <c r="C12" s="233" t="str">
        <f ca="1">DFIE!$B$200</f>
        <v>Kantonsanteil</v>
      </c>
      <c r="D12" s="258" t="str">
        <f ca="1">DFIE!$B$67</f>
        <v>Prozent</v>
      </c>
      <c r="E12" s="257"/>
      <c r="F12" s="263">
        <v>0.21199999999999999</v>
      </c>
      <c r="G12" s="264">
        <v>0.21199999999999999</v>
      </c>
      <c r="H12" s="265">
        <v>0.21199999999999999</v>
      </c>
      <c r="I12" s="234"/>
    </row>
    <row r="13" spans="1:9" ht="15" customHeight="1" x14ac:dyDescent="0.25">
      <c r="B13" s="240" t="s">
        <v>32</v>
      </c>
      <c r="C13" s="233" t="str">
        <f ca="1">DFIE!$B$201</f>
        <v>Anteil der Kantone an DBSt</v>
      </c>
      <c r="D13" s="258" t="str">
        <f ca="1">DFIE!$B$64</f>
        <v>CHF 1'000</v>
      </c>
      <c r="E13" s="257" t="s">
        <v>503</v>
      </c>
      <c r="F13" s="245">
        <f>F12*F11</f>
        <v>5133418.6051419992</v>
      </c>
      <c r="G13" s="246">
        <f>G12*G11</f>
        <v>5398073.53205512</v>
      </c>
      <c r="H13" s="247">
        <f>H12*H11</f>
        <v>5596582.5366412802</v>
      </c>
      <c r="I13" s="235"/>
    </row>
    <row r="14" spans="1:9" ht="15.75" customHeight="1" x14ac:dyDescent="0.25">
      <c r="B14" s="241" t="s">
        <v>43</v>
      </c>
      <c r="C14" s="236" t="str">
        <f ca="1">DFIE!$B$202</f>
        <v>Standardisierte Steuererträge (SSE)</v>
      </c>
      <c r="D14" s="259" t="str">
        <f ca="1">DFIE!$B$64</f>
        <v>CHF 1'000</v>
      </c>
      <c r="E14" s="260" t="s">
        <v>545</v>
      </c>
      <c r="F14" s="248">
        <f>F9-F10+F13</f>
        <v>84628481.500282004</v>
      </c>
      <c r="G14" s="249">
        <f t="shared" ref="G14:H14" si="0">G9-G10+G13</f>
        <v>87298475.978105128</v>
      </c>
      <c r="H14" s="250">
        <f t="shared" si="0"/>
        <v>91959551.179491282</v>
      </c>
      <c r="I14" s="250">
        <f>AVERAGE(F14:H14)</f>
        <v>87962169.552626133</v>
      </c>
    </row>
    <row r="15" spans="1:9" ht="15.75" customHeight="1" x14ac:dyDescent="0.25">
      <c r="B15" s="242"/>
      <c r="C15" s="233"/>
      <c r="D15" s="231"/>
      <c r="E15" s="237"/>
      <c r="F15" s="271"/>
      <c r="G15" s="271"/>
      <c r="H15" s="271"/>
      <c r="I15" s="271"/>
    </row>
    <row r="16" spans="1:9" ht="15" customHeight="1" x14ac:dyDescent="0.25">
      <c r="B16" s="240" t="s">
        <v>42</v>
      </c>
      <c r="C16" s="233" t="str">
        <f ca="1">DFIE!$B$203</f>
        <v>Massgebende Wohnbevölkerung</v>
      </c>
      <c r="D16" s="258" t="str">
        <f ca="1">DFIE!$B$65</f>
        <v>Anzahl</v>
      </c>
      <c r="E16" s="257"/>
      <c r="F16" s="251"/>
      <c r="G16" s="251"/>
      <c r="H16" s="251"/>
      <c r="I16" s="247">
        <f>BEV!F35</f>
        <v>8785914</v>
      </c>
    </row>
    <row r="17" spans="2:9" ht="15.75" customHeight="1" x14ac:dyDescent="0.25">
      <c r="B17" s="241" t="s">
        <v>33</v>
      </c>
      <c r="C17" s="236" t="str">
        <f ca="1">DFIE!$B$204</f>
        <v>Standardisierte Steuererträge pro Kopf</v>
      </c>
      <c r="D17" s="259" t="str">
        <f ca="1">DFIE!$B$63</f>
        <v>CHF</v>
      </c>
      <c r="E17" s="260" t="s">
        <v>61</v>
      </c>
      <c r="F17" s="252"/>
      <c r="G17" s="252"/>
      <c r="H17" s="252"/>
      <c r="I17" s="250">
        <f>I14/I16*1000</f>
        <v>10011.726674381986</v>
      </c>
    </row>
    <row r="18" spans="2:9" ht="15" customHeight="1" x14ac:dyDescent="0.25">
      <c r="B18" s="240" t="s">
        <v>510</v>
      </c>
      <c r="C18" s="233" t="str">
        <f ca="1">DFIE!$B$205</f>
        <v>Ressourcenpotenzial pro Kopf</v>
      </c>
      <c r="D18" s="258" t="str">
        <f ca="1">DFIE!$B$63</f>
        <v>CHF</v>
      </c>
      <c r="E18" s="257"/>
      <c r="F18" s="251"/>
      <c r="G18" s="251"/>
      <c r="H18" s="251"/>
      <c r="I18" s="247">
        <f>RP!H35</f>
        <v>34127.636880598613</v>
      </c>
    </row>
    <row r="19" spans="2:9" ht="15.75" customHeight="1" x14ac:dyDescent="0.25">
      <c r="B19" s="243" t="s">
        <v>35</v>
      </c>
      <c r="C19" s="238" t="str">
        <f ca="1">DFIE!$B$206</f>
        <v>Standardisierter Steuersatz (SST)</v>
      </c>
      <c r="D19" s="261" t="str">
        <f ca="1">DFIE!$B$67</f>
        <v>Prozent</v>
      </c>
      <c r="E19" s="262" t="s">
        <v>546</v>
      </c>
      <c r="F19" s="253"/>
      <c r="G19" s="253"/>
      <c r="H19" s="253"/>
      <c r="I19" s="239">
        <f>I17/I18</f>
        <v>0.29336126346543501</v>
      </c>
    </row>
    <row r="23" spans="2:9" x14ac:dyDescent="0.25">
      <c r="B23" s="244"/>
    </row>
  </sheetData>
  <conditionalFormatting sqref="F9:H12">
    <cfRule type="expression" dxfId="14" priority="1">
      <formula>ISBLANK(F9)</formula>
    </cfRule>
  </conditionalFormatting>
  <pageMargins left="0.78740157480314965" right="0.70866141732283472" top="0.9055118110236221" bottom="0.98425196850393704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6"/>
  <dimension ref="A1:K35"/>
  <sheetViews>
    <sheetView showGridLines="0" workbookViewId="0">
      <selection activeCell="A50" sqref="A50"/>
    </sheetView>
  </sheetViews>
  <sheetFormatPr baseColWidth="10" defaultRowHeight="13.2" x14ac:dyDescent="0.25"/>
  <cols>
    <col min="1" max="1" width="1.88671875" customWidth="1"/>
    <col min="2" max="2" width="17.33203125" customWidth="1"/>
    <col min="3" max="6" width="14.33203125" customWidth="1"/>
    <col min="7" max="7" width="14.6640625" customWidth="1"/>
    <col min="8" max="8" width="3.6640625" customWidth="1"/>
    <col min="9" max="9" width="30" customWidth="1"/>
    <col min="10" max="10" width="7.44140625" customWidth="1"/>
    <col min="11" max="11" width="9.5546875" customWidth="1"/>
  </cols>
  <sheetData>
    <row r="1" spans="1:11" ht="22.5" customHeight="1" x14ac:dyDescent="0.3">
      <c r="B1" s="117" t="str">
        <f ca="1">DFIE!$B$207</f>
        <v>Auszahlungen an die ressourcenschwachen Kantone 2026</v>
      </c>
      <c r="C1" s="197"/>
      <c r="D1" s="197"/>
      <c r="E1" s="205"/>
      <c r="F1" s="199"/>
      <c r="J1" s="276"/>
    </row>
    <row r="2" spans="1:11" ht="12.75" customHeight="1" x14ac:dyDescent="0.25">
      <c r="A2" s="206"/>
      <c r="C2" s="206"/>
      <c r="D2" s="206"/>
      <c r="E2" s="207"/>
      <c r="F2" s="208"/>
      <c r="J2" s="276"/>
    </row>
    <row r="3" spans="1:11" ht="0.75" customHeight="1" x14ac:dyDescent="0.25">
      <c r="A3" s="206"/>
      <c r="B3" s="206"/>
      <c r="C3" s="206"/>
      <c r="D3" s="206"/>
      <c r="E3" s="206"/>
      <c r="F3" s="206"/>
      <c r="G3" s="206"/>
      <c r="J3" s="276"/>
    </row>
    <row r="4" spans="1:11" ht="0.75" customHeight="1" x14ac:dyDescent="0.25">
      <c r="A4" s="206"/>
      <c r="B4" s="206"/>
      <c r="C4" s="206"/>
      <c r="D4" s="206"/>
      <c r="E4" s="206"/>
      <c r="F4" s="206"/>
      <c r="G4" s="206"/>
      <c r="J4" s="276"/>
    </row>
    <row r="5" spans="1:11" ht="0.75" customHeight="1" x14ac:dyDescent="0.25">
      <c r="A5" s="206"/>
      <c r="B5" s="206"/>
      <c r="C5" s="206"/>
      <c r="D5" s="206"/>
      <c r="E5" s="206"/>
      <c r="F5" s="206"/>
      <c r="G5" s="206"/>
      <c r="J5" s="276"/>
    </row>
    <row r="6" spans="1:11" ht="12" customHeight="1" x14ac:dyDescent="0.25">
      <c r="B6" s="67" t="str">
        <f ca="1">DFIE!$B$59</f>
        <v>Spalte</v>
      </c>
      <c r="C6" s="272" t="s">
        <v>30</v>
      </c>
      <c r="D6" s="68" t="s">
        <v>31</v>
      </c>
      <c r="E6" s="68" t="s">
        <v>32</v>
      </c>
      <c r="F6" s="111" t="s">
        <v>43</v>
      </c>
      <c r="G6" s="109" t="s">
        <v>42</v>
      </c>
      <c r="J6" s="2"/>
    </row>
    <row r="7" spans="1:11" ht="45" customHeight="1" x14ac:dyDescent="0.25">
      <c r="B7" s="76"/>
      <c r="C7" s="128" t="str">
        <f ca="1">DFIE!$B$208</f>
        <v>Ressourcen-
index</v>
      </c>
      <c r="D7" s="105" t="str">
        <f ca="1">DFIE!$B$209</f>
        <v>Auszahlung in
Indexpunkten</v>
      </c>
      <c r="E7" s="105" t="str">
        <f ca="1">DFIE!$B$210</f>
        <v>Index SSE
nach
Ausgleich</v>
      </c>
      <c r="F7" s="281" t="str">
        <f ca="1">DFIE!$B$211</f>
        <v>Auszahlung
pro Einwohner</v>
      </c>
      <c r="G7" s="131" t="str">
        <f ca="1">DFIE!$B$212</f>
        <v xml:space="preserve">Auszahlung
</v>
      </c>
    </row>
    <row r="8" spans="1:11" x14ac:dyDescent="0.25">
      <c r="B8" s="67" t="str">
        <f ca="1">DFIE!$B$62</f>
        <v>Einheit</v>
      </c>
      <c r="C8" s="273" t="str">
        <f ca="1">DFIE!$B$66</f>
        <v>Punkte</v>
      </c>
      <c r="D8" s="35" t="str">
        <f ca="1">DFIE!$B$66</f>
        <v>Punkte</v>
      </c>
      <c r="E8" s="35" t="str">
        <f ca="1">DFIE!$B$66</f>
        <v>Punkte</v>
      </c>
      <c r="F8" s="114" t="str">
        <f ca="1">DFIE!$B$63</f>
        <v>CHF</v>
      </c>
      <c r="G8" s="113" t="str">
        <f ca="1">DFIE!$B$63</f>
        <v>CHF</v>
      </c>
    </row>
    <row r="9" spans="1:11" ht="12.75" customHeight="1" x14ac:dyDescent="0.25">
      <c r="B9" s="295" t="str">
        <f ca="1">DFIE!$B$32</f>
        <v>Zürich</v>
      </c>
      <c r="C9" s="296">
        <f>RP!$I9</f>
        <v>116.70964252786342</v>
      </c>
      <c r="D9" s="297">
        <f>IF(C9&lt;$K$11,$K$10-C9,IF(C9&lt;100,$K$16*(100-C9)^$K$15,0))</f>
        <v>0</v>
      </c>
      <c r="E9" s="297">
        <f>IF(C9&lt;100,C9+D9,0)</f>
        <v>0</v>
      </c>
      <c r="F9" s="93">
        <f>D9*$K$14/100</f>
        <v>0</v>
      </c>
      <c r="G9" s="130">
        <f>F9*BEV!$F9</f>
        <v>0</v>
      </c>
      <c r="I9" s="283"/>
      <c r="J9" s="277"/>
      <c r="K9" s="144"/>
    </row>
    <row r="10" spans="1:11" x14ac:dyDescent="0.25">
      <c r="B10" s="274" t="str">
        <f ca="1">DFIE!$B$33</f>
        <v>Bern</v>
      </c>
      <c r="C10" s="292">
        <f>RP!$I10</f>
        <v>72.367453705529144</v>
      </c>
      <c r="D10" s="286">
        <f t="shared" ref="D10:D34" si="0">IF(C10&lt;$K$11,$K$10-C10,IF(C10&lt;100,$K$16*(100-C10)^$K$15,0))</f>
        <v>14.42331844709947</v>
      </c>
      <c r="E10" s="286">
        <f t="shared" ref="E10:E34" si="1">IF(C10&lt;100,C10+D10,0)</f>
        <v>86.79077215262862</v>
      </c>
      <c r="F10" s="29">
        <f t="shared" ref="F10:F34" si="2">D10*$K$14/100</f>
        <v>1444.0232202993152</v>
      </c>
      <c r="G10" s="123">
        <f>F10*BEV!$F10</f>
        <v>1519687389.6670957</v>
      </c>
      <c r="I10" s="275" t="str">
        <f ca="1">DFIE!$B$213</f>
        <v>Garantierte Mindestausstattung</v>
      </c>
      <c r="J10" s="280" t="str">
        <f ca="1">DFIE!$B$66</f>
        <v>Punkte</v>
      </c>
      <c r="K10" s="288">
        <v>86.5</v>
      </c>
    </row>
    <row r="11" spans="1:11" x14ac:dyDescent="0.25">
      <c r="B11" s="294" t="str">
        <f ca="1">DFIE!$B$34</f>
        <v>Luzern</v>
      </c>
      <c r="C11" s="291">
        <f>RP!$I11</f>
        <v>91.816785302361296</v>
      </c>
      <c r="D11" s="285">
        <f t="shared" si="0"/>
        <v>1.9690284168191678</v>
      </c>
      <c r="E11" s="285">
        <f t="shared" si="1"/>
        <v>93.785813719180467</v>
      </c>
      <c r="F11" s="30">
        <f t="shared" si="2"/>
        <v>197.13374323284592</v>
      </c>
      <c r="G11" s="122">
        <f>F11*BEV!$F11</f>
        <v>83117598.726136446</v>
      </c>
      <c r="I11" s="275" t="str">
        <f ca="1">DFIE!$B$214</f>
        <v>Beginn Progression</v>
      </c>
      <c r="J11" s="280" t="str">
        <f ca="1">DFIE!$B$66</f>
        <v>Punkte</v>
      </c>
      <c r="K11" s="288">
        <v>70</v>
      </c>
    </row>
    <row r="12" spans="1:11" x14ac:dyDescent="0.25">
      <c r="B12" s="274" t="str">
        <f ca="1">DFIE!$B$35</f>
        <v>Uri</v>
      </c>
      <c r="C12" s="292">
        <f>RP!$I12</f>
        <v>70.029031395155158</v>
      </c>
      <c r="D12" s="286">
        <f t="shared" si="0"/>
        <v>16.473879790422526</v>
      </c>
      <c r="E12" s="286">
        <f t="shared" si="1"/>
        <v>86.502911185577688</v>
      </c>
      <c r="F12" s="29">
        <f t="shared" si="2"/>
        <v>1649.3198172833552</v>
      </c>
      <c r="G12" s="123">
        <f>F12*BEV!$F12</f>
        <v>61483344.148688912</v>
      </c>
      <c r="I12" s="275" t="str">
        <f ca="1">DFIE!$B$215</f>
        <v>Maximale Grenzabschöpfung</v>
      </c>
      <c r="J12" s="280" t="str">
        <f ca="1">DFIE!$B$67</f>
        <v>Prozent</v>
      </c>
      <c r="K12" s="282">
        <v>0.9</v>
      </c>
    </row>
    <row r="13" spans="1:11" x14ac:dyDescent="0.25">
      <c r="B13" s="294" t="str">
        <f ca="1">DFIE!$B$36</f>
        <v>Schwyz</v>
      </c>
      <c r="C13" s="291">
        <f>RP!$I13</f>
        <v>185.74011499041171</v>
      </c>
      <c r="D13" s="285">
        <f t="shared" si="0"/>
        <v>0</v>
      </c>
      <c r="E13" s="285">
        <f t="shared" si="1"/>
        <v>0</v>
      </c>
      <c r="F13" s="30">
        <f t="shared" si="2"/>
        <v>0</v>
      </c>
      <c r="G13" s="122">
        <f>F13*BEV!$F13</f>
        <v>0</v>
      </c>
      <c r="I13" s="275"/>
      <c r="J13" s="280"/>
      <c r="K13" s="289"/>
    </row>
    <row r="14" spans="1:11" x14ac:dyDescent="0.25">
      <c r="B14" s="274" t="str">
        <f ca="1">DFIE!$B$37</f>
        <v>Obwalden</v>
      </c>
      <c r="C14" s="292">
        <f>RP!$I14</f>
        <v>107.47737344479098</v>
      </c>
      <c r="D14" s="286">
        <f t="shared" si="0"/>
        <v>0</v>
      </c>
      <c r="E14" s="286">
        <f t="shared" si="1"/>
        <v>0</v>
      </c>
      <c r="F14" s="29">
        <f t="shared" si="2"/>
        <v>0</v>
      </c>
      <c r="G14" s="123">
        <f>F14*BEV!$F14</f>
        <v>0</v>
      </c>
      <c r="I14" s="275" t="str">
        <f ca="1">DFIE!$B$216</f>
        <v>SSE pro Einwohner</v>
      </c>
      <c r="J14" s="280" t="str">
        <f ca="1">DFIE!$B$63</f>
        <v>CHF</v>
      </c>
      <c r="K14" s="171">
        <f>SST!$I$17</f>
        <v>10011.726674381986</v>
      </c>
    </row>
    <row r="15" spans="1:11" x14ac:dyDescent="0.25">
      <c r="B15" s="294" t="str">
        <f ca="1">DFIE!$B$38</f>
        <v>Nidwalden</v>
      </c>
      <c r="C15" s="291">
        <f>RP!$I15</f>
        <v>157.53900438761849</v>
      </c>
      <c r="D15" s="285">
        <f t="shared" si="0"/>
        <v>0</v>
      </c>
      <c r="E15" s="285">
        <f t="shared" si="1"/>
        <v>0</v>
      </c>
      <c r="F15" s="30">
        <f t="shared" si="2"/>
        <v>0</v>
      </c>
      <c r="G15" s="122">
        <f>F15*BEV!$F15</f>
        <v>0</v>
      </c>
      <c r="I15" s="275" t="str">
        <f ca="1">DFIE!$B$217</f>
        <v>Progressionsmass p</v>
      </c>
      <c r="J15" s="280"/>
      <c r="K15" s="290">
        <f>K12*(100-K11) / (K10-K11)</f>
        <v>1.6363636363636365</v>
      </c>
    </row>
    <row r="16" spans="1:11" x14ac:dyDescent="0.25">
      <c r="B16" s="274" t="str">
        <f ca="1">DFIE!$B$39</f>
        <v>Glarus</v>
      </c>
      <c r="C16" s="292">
        <f>RP!$I16</f>
        <v>71.174678456598144</v>
      </c>
      <c r="D16" s="286">
        <f t="shared" si="0"/>
        <v>15.45602423486206</v>
      </c>
      <c r="E16" s="286">
        <f t="shared" si="1"/>
        <v>86.630702691460201</v>
      </c>
      <c r="F16" s="29">
        <f t="shared" si="2"/>
        <v>1547.4149011206289</v>
      </c>
      <c r="G16" s="123">
        <f>F16*BEV!$F16</f>
        <v>64080514.275273405</v>
      </c>
      <c r="I16" s="275" t="str">
        <f ca="1">DFIE!$B$218</f>
        <v>Progressionsmass t</v>
      </c>
      <c r="J16" s="280"/>
      <c r="K16" s="290">
        <f>(K10-K11)/(100-K11)^K15</f>
        <v>6.3150448091571998E-2</v>
      </c>
    </row>
    <row r="17" spans="2:11" x14ac:dyDescent="0.25">
      <c r="B17" s="294" t="str">
        <f ca="1">DFIE!$B$40</f>
        <v>Zug</v>
      </c>
      <c r="C17" s="291">
        <f>RP!$I17</f>
        <v>286.96675961359279</v>
      </c>
      <c r="D17" s="285">
        <f t="shared" si="0"/>
        <v>0</v>
      </c>
      <c r="E17" s="285">
        <f t="shared" si="1"/>
        <v>0</v>
      </c>
      <c r="F17" s="30">
        <f t="shared" si="2"/>
        <v>0</v>
      </c>
      <c r="G17" s="122">
        <f>F17*BEV!$F17</f>
        <v>0</v>
      </c>
      <c r="I17" s="134"/>
      <c r="J17" s="278"/>
      <c r="K17" s="284"/>
    </row>
    <row r="18" spans="2:11" x14ac:dyDescent="0.25">
      <c r="B18" s="274" t="str">
        <f ca="1">DFIE!$B$41</f>
        <v>Freiburg</v>
      </c>
      <c r="C18" s="292">
        <f>RP!$I18</f>
        <v>71.891665424996631</v>
      </c>
      <c r="D18" s="286">
        <f t="shared" si="0"/>
        <v>14.831925407588654</v>
      </c>
      <c r="E18" s="286">
        <f t="shared" si="1"/>
        <v>86.723590832585288</v>
      </c>
      <c r="F18" s="29">
        <f t="shared" si="2"/>
        <v>1484.9318323559921</v>
      </c>
      <c r="G18" s="123">
        <f>F18*BEV!$F18</f>
        <v>489853767.65309173</v>
      </c>
      <c r="J18" s="279"/>
    </row>
    <row r="19" spans="2:11" x14ac:dyDescent="0.25">
      <c r="B19" s="294" t="str">
        <f ca="1">DFIE!$B$42</f>
        <v>Solothurn</v>
      </c>
      <c r="C19" s="291">
        <f>RP!$I19</f>
        <v>70.442677020010606</v>
      </c>
      <c r="D19" s="285">
        <f t="shared" si="0"/>
        <v>16.103464599978061</v>
      </c>
      <c r="E19" s="285">
        <f t="shared" si="1"/>
        <v>86.546141619988674</v>
      </c>
      <c r="F19" s="30">
        <f t="shared" si="2"/>
        <v>1612.2348608556638</v>
      </c>
      <c r="G19" s="122">
        <f>F19*BEV!$F19</f>
        <v>453196532.32842565</v>
      </c>
      <c r="J19" s="279"/>
    </row>
    <row r="20" spans="2:11" x14ac:dyDescent="0.25">
      <c r="B20" s="274" t="str">
        <f ca="1">DFIE!$B$43</f>
        <v>Basel-Stadt</v>
      </c>
      <c r="C20" s="292">
        <f>RP!$I20</f>
        <v>155.90952849505592</v>
      </c>
      <c r="D20" s="286">
        <f t="shared" si="0"/>
        <v>0</v>
      </c>
      <c r="E20" s="286">
        <f t="shared" si="1"/>
        <v>0</v>
      </c>
      <c r="F20" s="29">
        <f t="shared" si="2"/>
        <v>0</v>
      </c>
      <c r="G20" s="123">
        <f>F20*BEV!$F20</f>
        <v>0</v>
      </c>
      <c r="J20" s="279"/>
    </row>
    <row r="21" spans="2:11" x14ac:dyDescent="0.25">
      <c r="B21" s="294" t="str">
        <f ca="1">DFIE!$B$44</f>
        <v>Basel-Landschaft</v>
      </c>
      <c r="C21" s="291">
        <f>RP!$I21</f>
        <v>97.746223253710411</v>
      </c>
      <c r="D21" s="285">
        <f t="shared" si="0"/>
        <v>0.23870800862190733</v>
      </c>
      <c r="E21" s="285">
        <f t="shared" si="1"/>
        <v>97.984931262332324</v>
      </c>
      <c r="F21" s="30">
        <f t="shared" si="2"/>
        <v>23.898793373085546</v>
      </c>
      <c r="G21" s="122">
        <f>F21*BEV!$F21</f>
        <v>7026484.2396208812</v>
      </c>
      <c r="J21" s="279"/>
    </row>
    <row r="22" spans="2:11" x14ac:dyDescent="0.25">
      <c r="B22" s="274" t="str">
        <f ca="1">DFIE!$B$45</f>
        <v>Schaffhausen</v>
      </c>
      <c r="C22" s="292">
        <f>RP!$I22</f>
        <v>108.10767781212986</v>
      </c>
      <c r="D22" s="286">
        <f t="shared" si="0"/>
        <v>0</v>
      </c>
      <c r="E22" s="286">
        <f t="shared" si="1"/>
        <v>0</v>
      </c>
      <c r="F22" s="29">
        <f t="shared" si="2"/>
        <v>0</v>
      </c>
      <c r="G22" s="123">
        <f>F22*BEV!$F22</f>
        <v>0</v>
      </c>
      <c r="J22" s="279"/>
    </row>
    <row r="23" spans="2:11" x14ac:dyDescent="0.25">
      <c r="B23" s="294" t="str">
        <f ca="1">DFIE!$B$46</f>
        <v>Appenzell A.Rh.</v>
      </c>
      <c r="C23" s="291">
        <f>RP!$I23</f>
        <v>86.594271033745002</v>
      </c>
      <c r="D23" s="285">
        <f t="shared" si="0"/>
        <v>4.4160452153589391</v>
      </c>
      <c r="E23" s="285">
        <f t="shared" si="1"/>
        <v>91.010316249103937</v>
      </c>
      <c r="F23" s="30">
        <f t="shared" si="2"/>
        <v>442.12237677886026</v>
      </c>
      <c r="G23" s="122">
        <f>F23*BEV!$F23</f>
        <v>24623121.529945064</v>
      </c>
      <c r="J23" s="279"/>
    </row>
    <row r="24" spans="2:11" x14ac:dyDescent="0.25">
      <c r="B24" s="274" t="str">
        <f ca="1">DFIE!$B$47</f>
        <v>Appenzell I.Rh.</v>
      </c>
      <c r="C24" s="292">
        <f>RP!$I24</f>
        <v>103.98039508633433</v>
      </c>
      <c r="D24" s="286">
        <f t="shared" si="0"/>
        <v>0</v>
      </c>
      <c r="E24" s="286">
        <f t="shared" si="1"/>
        <v>0</v>
      </c>
      <c r="F24" s="29">
        <f t="shared" si="2"/>
        <v>0</v>
      </c>
      <c r="G24" s="123">
        <f>F24*BEV!$F24</f>
        <v>0</v>
      </c>
      <c r="J24" s="279"/>
    </row>
    <row r="25" spans="2:11" x14ac:dyDescent="0.25">
      <c r="B25" s="294" t="str">
        <f ca="1">DFIE!$B$48</f>
        <v>St. Gallen</v>
      </c>
      <c r="C25" s="291">
        <f>RP!$I25</f>
        <v>78.537682557570122</v>
      </c>
      <c r="D25" s="285">
        <f t="shared" si="0"/>
        <v>9.5385777314242155</v>
      </c>
      <c r="E25" s="285">
        <f t="shared" si="1"/>
        <v>88.076260288994334</v>
      </c>
      <c r="F25" s="30">
        <f t="shared" si="2"/>
        <v>954.97633109365825</v>
      </c>
      <c r="G25" s="122">
        <f>F25*BEV!$F25</f>
        <v>496921774.72186321</v>
      </c>
      <c r="J25" s="279"/>
    </row>
    <row r="26" spans="2:11" x14ac:dyDescent="0.25">
      <c r="B26" s="274" t="str">
        <f ca="1">DFIE!$B$49</f>
        <v>Graubünden</v>
      </c>
      <c r="C26" s="292">
        <f>RP!$I26</f>
        <v>93.50188577254842</v>
      </c>
      <c r="D26" s="286">
        <f t="shared" si="0"/>
        <v>1.3501812914353277</v>
      </c>
      <c r="E26" s="286">
        <f t="shared" si="1"/>
        <v>94.852067063983753</v>
      </c>
      <c r="F26" s="29">
        <f t="shared" si="2"/>
        <v>135.17646050714586</v>
      </c>
      <c r="G26" s="123">
        <f>F26*BEV!$F26</f>
        <v>28080453.964660343</v>
      </c>
      <c r="J26" s="279"/>
    </row>
    <row r="27" spans="2:11" x14ac:dyDescent="0.25">
      <c r="B27" s="294" t="str">
        <f ca="1">DFIE!$B$50</f>
        <v>Aargau</v>
      </c>
      <c r="C27" s="291">
        <f>RP!$I27</f>
        <v>79.925042406362095</v>
      </c>
      <c r="D27" s="285">
        <f t="shared" si="0"/>
        <v>8.5505315633614991</v>
      </c>
      <c r="E27" s="285">
        <f t="shared" si="1"/>
        <v>88.475573969723598</v>
      </c>
      <c r="F27" s="30">
        <f t="shared" si="2"/>
        <v>856.05584933051421</v>
      </c>
      <c r="G27" s="122">
        <f>F27*BEV!$F27</f>
        <v>602714823.95561671</v>
      </c>
      <c r="J27" s="279"/>
    </row>
    <row r="28" spans="2:11" x14ac:dyDescent="0.25">
      <c r="B28" s="274" t="str">
        <f ca="1">DFIE!$B$51</f>
        <v>Thurgau</v>
      </c>
      <c r="C28" s="292">
        <f>RP!$I28</f>
        <v>79.431463826824881</v>
      </c>
      <c r="D28" s="286">
        <f t="shared" si="0"/>
        <v>8.8972276440826459</v>
      </c>
      <c r="E28" s="286">
        <f t="shared" si="1"/>
        <v>88.328691470907529</v>
      </c>
      <c r="F28" s="29">
        <f t="shared" si="2"/>
        <v>890.76611332311018</v>
      </c>
      <c r="G28" s="123">
        <f>F28*BEV!$F28</f>
        <v>255333058.70942736</v>
      </c>
      <c r="J28" s="279"/>
    </row>
    <row r="29" spans="2:11" x14ac:dyDescent="0.25">
      <c r="B29" s="294" t="str">
        <f ca="1">DFIE!$B$52</f>
        <v>Tessin</v>
      </c>
      <c r="C29" s="291">
        <f>RP!$I29</f>
        <v>91.116070758485591</v>
      </c>
      <c r="D29" s="285">
        <f t="shared" si="0"/>
        <v>2.2523678123888478</v>
      </c>
      <c r="E29" s="285">
        <f t="shared" si="1"/>
        <v>93.368438570874446</v>
      </c>
      <c r="F29" s="30">
        <f t="shared" si="2"/>
        <v>225.50090907812827</v>
      </c>
      <c r="G29" s="122">
        <f>F29*BEV!$F29</f>
        <v>80043238.934099719</v>
      </c>
      <c r="J29" s="279"/>
    </row>
    <row r="30" spans="2:11" x14ac:dyDescent="0.25">
      <c r="B30" s="274" t="str">
        <f ca="1">DFIE!$B$53</f>
        <v>Waadt</v>
      </c>
      <c r="C30" s="292">
        <f>RP!$I30</f>
        <v>99.678642535059396</v>
      </c>
      <c r="D30" s="286">
        <f t="shared" si="0"/>
        <v>9.8543996223626803E-3</v>
      </c>
      <c r="E30" s="286">
        <f t="shared" si="1"/>
        <v>99.688496934681766</v>
      </c>
      <c r="F30" s="29">
        <f t="shared" si="2"/>
        <v>0.98659555559228207</v>
      </c>
      <c r="G30" s="123">
        <f>F30*BEV!$F30</f>
        <v>817025.92436819198</v>
      </c>
      <c r="J30" s="279"/>
    </row>
    <row r="31" spans="2:11" x14ac:dyDescent="0.25">
      <c r="B31" s="294" t="str">
        <f ca="1">DFIE!$B$54</f>
        <v>Wallis</v>
      </c>
      <c r="C31" s="291">
        <f>RP!$I31</f>
        <v>68.567923742627272</v>
      </c>
      <c r="D31" s="285">
        <f t="shared" si="0"/>
        <v>17.932076257372728</v>
      </c>
      <c r="E31" s="285">
        <f t="shared" si="1"/>
        <v>86.5</v>
      </c>
      <c r="F31" s="30">
        <f t="shared" si="2"/>
        <v>1795.310461929904</v>
      </c>
      <c r="G31" s="122">
        <f>F31*BEV!$F31</f>
        <v>645912010.49857569</v>
      </c>
      <c r="J31" s="279"/>
    </row>
    <row r="32" spans="2:11" x14ac:dyDescent="0.25">
      <c r="B32" s="274" t="str">
        <f ca="1">DFIE!$B$55</f>
        <v>Neuenburg</v>
      </c>
      <c r="C32" s="292">
        <f>RP!$I32</f>
        <v>77.289783569693711</v>
      </c>
      <c r="D32" s="286">
        <f t="shared" si="0"/>
        <v>10.462792458121157</v>
      </c>
      <c r="E32" s="286">
        <f t="shared" si="1"/>
        <v>87.752576027814868</v>
      </c>
      <c r="F32" s="29">
        <f t="shared" si="2"/>
        <v>1047.5061834149426</v>
      </c>
      <c r="G32" s="123">
        <f>F32*BEV!$F32</f>
        <v>186238568.53043729</v>
      </c>
      <c r="J32" s="279"/>
    </row>
    <row r="33" spans="2:11" x14ac:dyDescent="0.25">
      <c r="B33" s="294" t="str">
        <f ca="1">DFIE!$B$56</f>
        <v>Genf</v>
      </c>
      <c r="C33" s="291">
        <f>RP!$I33</f>
        <v>155.33116720068918</v>
      </c>
      <c r="D33" s="285">
        <f t="shared" si="0"/>
        <v>0</v>
      </c>
      <c r="E33" s="285">
        <f t="shared" si="1"/>
        <v>0</v>
      </c>
      <c r="F33" s="30">
        <f t="shared" si="2"/>
        <v>0</v>
      </c>
      <c r="G33" s="122">
        <f>F33*BEV!$F33</f>
        <v>0</v>
      </c>
      <c r="J33" s="279"/>
    </row>
    <row r="34" spans="2:11" x14ac:dyDescent="0.25">
      <c r="B34" s="274" t="str">
        <f ca="1">DFIE!$B$57</f>
        <v>Jura</v>
      </c>
      <c r="C34" s="292">
        <f>RP!$I34</f>
        <v>64.456538235303611</v>
      </c>
      <c r="D34" s="286">
        <f t="shared" si="0"/>
        <v>22.043461764696389</v>
      </c>
      <c r="E34" s="286">
        <f t="shared" si="1"/>
        <v>86.5</v>
      </c>
      <c r="F34" s="29">
        <f t="shared" si="2"/>
        <v>2206.9311414533022</v>
      </c>
      <c r="G34" s="123">
        <f>F34*BEV!$F34</f>
        <v>163433182.21475357</v>
      </c>
      <c r="J34" s="279"/>
    </row>
    <row r="35" spans="2:11" x14ac:dyDescent="0.25">
      <c r="B35" s="14" t="str">
        <f ca="1">DFIE!$B$58</f>
        <v>Schweiz</v>
      </c>
      <c r="C35" s="293">
        <f>RP!$I35</f>
        <v>100</v>
      </c>
      <c r="D35" s="271"/>
      <c r="E35" s="271"/>
      <c r="F35" s="287"/>
      <c r="G35" s="124">
        <f>SUM(G9:G34)</f>
        <v>5162562890.0220795</v>
      </c>
      <c r="I35" s="77"/>
      <c r="J35" s="279"/>
      <c r="K35" s="77"/>
    </row>
  </sheetData>
  <conditionalFormatting sqref="K10:K12">
    <cfRule type="expression" dxfId="13" priority="1" stopIfTrue="1">
      <formula>ISBLANK(K10)</formula>
    </cfRule>
  </conditionalFormatting>
  <pageMargins left="0.78740157480314965" right="0.70866141732283472" top="0.9055118110236221" bottom="0.98425196850393704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2"/>
  <dimension ref="B1:F12"/>
  <sheetViews>
    <sheetView showGridLines="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23.33203125" customWidth="1"/>
    <col min="3" max="3" width="12.88671875" customWidth="1"/>
    <col min="4" max="6" width="20.6640625" customWidth="1"/>
    <col min="10" max="10" width="2.44140625" customWidth="1"/>
    <col min="12" max="12" width="30.88671875" customWidth="1"/>
    <col min="13" max="15" width="19.5546875" customWidth="1"/>
  </cols>
  <sheetData>
    <row r="1" spans="2:6" ht="22.5" customHeight="1" x14ac:dyDescent="0.3">
      <c r="B1" s="3" t="str">
        <f ca="1">DFIE!$B$219</f>
        <v>Dotationen im Ressourcenausgleich 2026</v>
      </c>
      <c r="C1" s="3"/>
    </row>
    <row r="2" spans="2:6" ht="22.5" customHeight="1" x14ac:dyDescent="0.25">
      <c r="B2" s="17"/>
      <c r="C2" s="17"/>
    </row>
    <row r="3" spans="2:6" ht="0.75" customHeight="1" x14ac:dyDescent="0.25">
      <c r="B3" s="17"/>
      <c r="C3" s="17"/>
    </row>
    <row r="4" spans="2:6" ht="0.75" customHeight="1" x14ac:dyDescent="0.25">
      <c r="B4" s="17"/>
      <c r="C4" s="17"/>
    </row>
    <row r="5" spans="2:6" ht="0.75" customHeight="1" x14ac:dyDescent="0.25">
      <c r="B5" s="17"/>
      <c r="C5" s="17"/>
    </row>
    <row r="6" spans="2:6" ht="0.75" customHeight="1" x14ac:dyDescent="0.25">
      <c r="B6" s="17"/>
      <c r="C6" s="17"/>
    </row>
    <row r="7" spans="2:6" ht="0.75" customHeight="1" x14ac:dyDescent="0.25">
      <c r="B7" s="17"/>
      <c r="C7" s="17"/>
    </row>
    <row r="8" spans="2:6" ht="45" customHeight="1" x14ac:dyDescent="0.25">
      <c r="B8" s="309"/>
      <c r="C8" s="303" t="str">
        <f ca="1">DFIE!$B$62</f>
        <v>Einheit</v>
      </c>
      <c r="D8" s="300" t="str">
        <f ca="1">DFIE!$B$220</f>
        <v>Vertikaler
Ressourcenausgleich
(VRA)</v>
      </c>
      <c r="E8" s="301" t="str">
        <f ca="1">DFIE!$B$221</f>
        <v>Horizontaler
Ressourcenausgleich
(HRA)</v>
      </c>
      <c r="F8" s="302" t="str">
        <f ca="1">DFIE!$B$222</f>
        <v>Ausgleich
Total</v>
      </c>
    </row>
    <row r="9" spans="2:6" ht="24" customHeight="1" x14ac:dyDescent="0.25">
      <c r="B9" s="298" t="str">
        <f ca="1">DFIE!$B$223</f>
        <v>Dotation 2026</v>
      </c>
      <c r="C9" s="273" t="str">
        <f ca="1">DFIE!$B$63</f>
        <v>CHF</v>
      </c>
      <c r="D9" s="26">
        <f>D10*F9</f>
        <v>3097537734.0132475</v>
      </c>
      <c r="E9" s="124">
        <f>E10*F9</f>
        <v>2065025156.008832</v>
      </c>
      <c r="F9" s="124">
        <f>AUSZ!$G$35</f>
        <v>5162562890.0220795</v>
      </c>
    </row>
    <row r="10" spans="2:6" ht="18" customHeight="1" x14ac:dyDescent="0.25">
      <c r="B10" s="299" t="str">
        <f ca="1">DFIE!$B$224</f>
        <v>Anteile</v>
      </c>
      <c r="C10" s="273" t="str">
        <f ca="1">DFIE!$B$67</f>
        <v>Prozent</v>
      </c>
      <c r="D10" s="307">
        <f>D12/(1+D12)</f>
        <v>0.6</v>
      </c>
      <c r="E10" s="308">
        <f>1/(1+D12)</f>
        <v>0.4</v>
      </c>
      <c r="F10" s="308">
        <v>1</v>
      </c>
    </row>
    <row r="12" spans="2:6" ht="18" customHeight="1" x14ac:dyDescent="0.25">
      <c r="B12" s="305" t="str">
        <f ca="1">DFIE!$B$225</f>
        <v>VRA in % des HRA</v>
      </c>
      <c r="C12" s="304" t="str">
        <f ca="1">DFIE!$B$67</f>
        <v>Prozent</v>
      </c>
      <c r="D12" s="306">
        <v>1.5</v>
      </c>
    </row>
  </sheetData>
  <conditionalFormatting sqref="D12">
    <cfRule type="expression" dxfId="12" priority="1" stopIfTrue="1">
      <formula>ISBLANK(D12)</formula>
    </cfRule>
  </conditionalFormatting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3"/>
  <dimension ref="A1:G35"/>
  <sheetViews>
    <sheetView showGridLines="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17.33203125" customWidth="1"/>
    <col min="3" max="5" width="16.6640625" customWidth="1"/>
    <col min="6" max="7" width="17.44140625" customWidth="1"/>
  </cols>
  <sheetData>
    <row r="1" spans="1:7" ht="22.5" customHeight="1" x14ac:dyDescent="0.3">
      <c r="B1" s="117" t="str">
        <f ca="1">DFIE!$B$226</f>
        <v>Einzahlungen der ressourcenstarken Kantone 2026</v>
      </c>
      <c r="C1" s="197"/>
      <c r="D1" s="197"/>
      <c r="E1" s="205"/>
      <c r="F1" s="199"/>
    </row>
    <row r="2" spans="1:7" ht="12.75" customHeight="1" x14ac:dyDescent="0.25">
      <c r="A2" s="206"/>
      <c r="C2" s="206"/>
      <c r="D2" s="206"/>
      <c r="E2" s="207"/>
      <c r="F2" s="208"/>
    </row>
    <row r="3" spans="1:7" ht="0.75" customHeight="1" x14ac:dyDescent="0.25">
      <c r="A3" s="206"/>
      <c r="B3" s="206"/>
      <c r="C3" s="206"/>
      <c r="D3" s="206"/>
      <c r="E3" s="206"/>
      <c r="F3" s="206"/>
    </row>
    <row r="4" spans="1:7" ht="0.75" customHeight="1" x14ac:dyDescent="0.25">
      <c r="A4" s="206"/>
      <c r="B4" s="206"/>
      <c r="C4" s="206"/>
      <c r="D4" s="206"/>
      <c r="E4" s="206"/>
      <c r="F4" s="206"/>
    </row>
    <row r="5" spans="1:7" ht="12" customHeight="1" x14ac:dyDescent="0.25">
      <c r="B5" s="67" t="str">
        <f ca="1">DFIE!$B$59</f>
        <v>Spalte</v>
      </c>
      <c r="C5" s="73" t="s">
        <v>30</v>
      </c>
      <c r="D5" s="68" t="s">
        <v>31</v>
      </c>
      <c r="E5" s="68" t="s">
        <v>32</v>
      </c>
      <c r="F5" s="111" t="s">
        <v>43</v>
      </c>
      <c r="G5" s="109" t="s">
        <v>42</v>
      </c>
    </row>
    <row r="6" spans="1:7" ht="12" customHeight="1" x14ac:dyDescent="0.25">
      <c r="B6" s="67" t="str">
        <f ca="1">DFIE!$B$60</f>
        <v>Formel</v>
      </c>
      <c r="C6" s="75"/>
      <c r="D6" s="132"/>
      <c r="E6" s="132" t="s">
        <v>73</v>
      </c>
      <c r="F6" s="170" t="s">
        <v>74</v>
      </c>
      <c r="G6" s="310" t="str">
        <f ca="1">DFIE!$B$232</f>
        <v>Dotation/E[Schweiz]*E</v>
      </c>
    </row>
    <row r="7" spans="1:7" ht="42.75" customHeight="1" x14ac:dyDescent="0.25">
      <c r="B7" s="76"/>
      <c r="C7" s="311" t="str">
        <f ca="1">DFIE!$B$227</f>
        <v>Ressourcen-
index</v>
      </c>
      <c r="D7" s="311" t="str">
        <f ca="1">DFIE!$B$228</f>
        <v>Massgebende
Wohn-
bevölkerung</v>
      </c>
      <c r="E7" s="105" t="str">
        <f ca="1">DFIE!$B$229</f>
        <v>Summe der
gewichteten
Abweichungen</v>
      </c>
      <c r="F7" s="281" t="str">
        <f ca="1">DFIE!$B$230</f>
        <v>Einzahlung
pro Einwohner</v>
      </c>
      <c r="G7" s="131" t="str">
        <f ca="1">DFIE!$B$231</f>
        <v xml:space="preserve">Einzahlung
</v>
      </c>
    </row>
    <row r="8" spans="1:7" x14ac:dyDescent="0.25">
      <c r="B8" s="67" t="str">
        <f ca="1">DFIE!$B$62</f>
        <v>Einheit</v>
      </c>
      <c r="C8" s="231" t="str">
        <f ca="1">DFIE!$B$66</f>
        <v>Punkte</v>
      </c>
      <c r="D8" s="35" t="str">
        <f ca="1">DFIE!$B$65</f>
        <v>Anzahl</v>
      </c>
      <c r="E8" s="35"/>
      <c r="F8" s="114" t="str">
        <f ca="1">DFIE!$B$63</f>
        <v>CHF</v>
      </c>
      <c r="G8" s="113" t="str">
        <f ca="1">DFIE!$B$63</f>
        <v>CHF</v>
      </c>
    </row>
    <row r="9" spans="1:7" ht="12.75" customHeight="1" x14ac:dyDescent="0.25">
      <c r="B9" s="295" t="str">
        <f ca="1">DFIE!$B$32</f>
        <v>Zürich</v>
      </c>
      <c r="C9" s="315">
        <f>RP!I9</f>
        <v>116.70964252786342</v>
      </c>
      <c r="D9" s="154">
        <f>RP!G9</f>
        <v>1569617.5</v>
      </c>
      <c r="E9" s="94">
        <f t="shared" ref="E9:E34" si="0">IF(C9&gt;100,(C9-100)*D9,0)</f>
        <v>26227747.330478664</v>
      </c>
      <c r="F9" s="93">
        <f>G9/D9</f>
        <v>320.15815602636889</v>
      </c>
      <c r="G9" s="130">
        <f>DOT!$E$9/$E$35*E9</f>
        <v>502525844.46671909</v>
      </c>
    </row>
    <row r="10" spans="1:7" ht="12.75" customHeight="1" x14ac:dyDescent="0.25">
      <c r="B10" s="274" t="str">
        <f ca="1">DFIE!$B$33</f>
        <v>Bern</v>
      </c>
      <c r="C10" s="313">
        <f>RP!I10</f>
        <v>72.367453705529144</v>
      </c>
      <c r="D10" s="156">
        <f>RP!G10</f>
        <v>1052398.1666666667</v>
      </c>
      <c r="E10" s="95">
        <f t="shared" si="0"/>
        <v>0</v>
      </c>
      <c r="F10" s="29">
        <f t="shared" ref="F10:F34" si="1">G10/D10</f>
        <v>0</v>
      </c>
      <c r="G10" s="123">
        <f>DOT!$E$9/$E$35*E10</f>
        <v>0</v>
      </c>
    </row>
    <row r="11" spans="1:7" ht="12.75" customHeight="1" x14ac:dyDescent="0.25">
      <c r="B11" s="294" t="str">
        <f ca="1">DFIE!$B$34</f>
        <v>Luzern</v>
      </c>
      <c r="C11" s="312">
        <f>RP!I11</f>
        <v>91.816785302361296</v>
      </c>
      <c r="D11" s="158">
        <f>RP!G11</f>
        <v>421630.5</v>
      </c>
      <c r="E11" s="96">
        <f t="shared" si="0"/>
        <v>0</v>
      </c>
      <c r="F11" s="30">
        <f t="shared" si="1"/>
        <v>0</v>
      </c>
      <c r="G11" s="122">
        <f>DOT!$E$9/$E$35*E11</f>
        <v>0</v>
      </c>
    </row>
    <row r="12" spans="1:7" ht="12.75" customHeight="1" x14ac:dyDescent="0.25">
      <c r="B12" s="274" t="str">
        <f ca="1">DFIE!$B$35</f>
        <v>Uri</v>
      </c>
      <c r="C12" s="313">
        <f>RP!I12</f>
        <v>70.029031395155158</v>
      </c>
      <c r="D12" s="156">
        <f>RP!G12</f>
        <v>37278</v>
      </c>
      <c r="E12" s="95">
        <f t="shared" si="0"/>
        <v>0</v>
      </c>
      <c r="F12" s="29">
        <f t="shared" si="1"/>
        <v>0</v>
      </c>
      <c r="G12" s="123">
        <f>DOT!$E$9/$E$35*E12</f>
        <v>0</v>
      </c>
    </row>
    <row r="13" spans="1:7" ht="12.75" customHeight="1" x14ac:dyDescent="0.25">
      <c r="B13" s="294" t="str">
        <f ca="1">DFIE!$B$36</f>
        <v>Schwyz</v>
      </c>
      <c r="C13" s="312">
        <f>RP!I13</f>
        <v>185.74011499041171</v>
      </c>
      <c r="D13" s="158">
        <f>RP!G13</f>
        <v>163736.5</v>
      </c>
      <c r="E13" s="96">
        <f t="shared" si="0"/>
        <v>14038786.338127548</v>
      </c>
      <c r="F13" s="30">
        <f t="shared" si="1"/>
        <v>1642.7878135062049</v>
      </c>
      <c r="G13" s="122">
        <f>DOT!$E$9/$E$35*E13</f>
        <v>268984326.8261587</v>
      </c>
    </row>
    <row r="14" spans="1:7" ht="12.75" customHeight="1" x14ac:dyDescent="0.25">
      <c r="B14" s="274" t="str">
        <f ca="1">DFIE!$B$37</f>
        <v>Obwalden</v>
      </c>
      <c r="C14" s="313">
        <f>RP!I14</f>
        <v>107.47737344479098</v>
      </c>
      <c r="D14" s="156">
        <f>RP!G14</f>
        <v>38684.166666666664</v>
      </c>
      <c r="E14" s="95">
        <f t="shared" si="0"/>
        <v>289255.9605672019</v>
      </c>
      <c r="F14" s="29">
        <f t="shared" si="1"/>
        <v>143.26710400973016</v>
      </c>
      <c r="G14" s="123">
        <f>DOT!$E$9/$E$35*E14</f>
        <v>5542168.5293630697</v>
      </c>
    </row>
    <row r="15" spans="1:7" ht="12.75" customHeight="1" x14ac:dyDescent="0.25">
      <c r="B15" s="294" t="str">
        <f ca="1">DFIE!$B$38</f>
        <v>Nidwalden</v>
      </c>
      <c r="C15" s="312">
        <f>RP!I15</f>
        <v>157.53900438761849</v>
      </c>
      <c r="D15" s="158">
        <f>RP!G15</f>
        <v>43965.333333333336</v>
      </c>
      <c r="E15" s="96">
        <f t="shared" si="0"/>
        <v>2529721.5075697764</v>
      </c>
      <c r="F15" s="30">
        <f t="shared" si="1"/>
        <v>1102.452162792531</v>
      </c>
      <c r="G15" s="122">
        <f>DOT!$E$9/$E$35*E15</f>
        <v>48469676.821227893</v>
      </c>
    </row>
    <row r="16" spans="1:7" ht="12.75" customHeight="1" x14ac:dyDescent="0.25">
      <c r="B16" s="274" t="str">
        <f ca="1">DFIE!$B$39</f>
        <v>Glarus</v>
      </c>
      <c r="C16" s="313">
        <f>RP!I16</f>
        <v>71.174678456598144</v>
      </c>
      <c r="D16" s="156">
        <f>RP!G16</f>
        <v>41411.333333333336</v>
      </c>
      <c r="E16" s="95">
        <f t="shared" si="0"/>
        <v>0</v>
      </c>
      <c r="F16" s="29">
        <f t="shared" si="1"/>
        <v>0</v>
      </c>
      <c r="G16" s="123">
        <f>DOT!$E$9/$E$35*E16</f>
        <v>0</v>
      </c>
    </row>
    <row r="17" spans="2:7" ht="12.75" customHeight="1" x14ac:dyDescent="0.25">
      <c r="B17" s="294" t="str">
        <f ca="1">DFIE!$B$40</f>
        <v>Zug</v>
      </c>
      <c r="C17" s="312">
        <f>RP!I17</f>
        <v>286.96675961359279</v>
      </c>
      <c r="D17" s="158">
        <f>RP!G17</f>
        <v>130851.33333333333</v>
      </c>
      <c r="E17" s="96">
        <f t="shared" si="0"/>
        <v>24464849.784451433</v>
      </c>
      <c r="F17" s="30">
        <f t="shared" si="1"/>
        <v>3582.2988371114548</v>
      </c>
      <c r="G17" s="122">
        <f>DOT!$E$9/$E$35*E17</f>
        <v>468748579.2344833</v>
      </c>
    </row>
    <row r="18" spans="2:7" ht="12.75" customHeight="1" x14ac:dyDescent="0.25">
      <c r="B18" s="274" t="str">
        <f ca="1">DFIE!$B$41</f>
        <v>Freiburg</v>
      </c>
      <c r="C18" s="313">
        <f>RP!I18</f>
        <v>71.891665424996631</v>
      </c>
      <c r="D18" s="156">
        <f>RP!G18</f>
        <v>329883</v>
      </c>
      <c r="E18" s="95">
        <f t="shared" si="0"/>
        <v>0</v>
      </c>
      <c r="F18" s="29">
        <f t="shared" si="1"/>
        <v>0</v>
      </c>
      <c r="G18" s="123">
        <f>DOT!$E$9/$E$35*E18</f>
        <v>0</v>
      </c>
    </row>
    <row r="19" spans="2:7" ht="12.75" customHeight="1" x14ac:dyDescent="0.25">
      <c r="B19" s="294" t="str">
        <f ca="1">DFIE!$B$42</f>
        <v>Solothurn</v>
      </c>
      <c r="C19" s="312">
        <f>RP!I19</f>
        <v>70.442677020010606</v>
      </c>
      <c r="D19" s="158">
        <f>RP!G19</f>
        <v>281098.33333333331</v>
      </c>
      <c r="E19" s="96">
        <f t="shared" si="0"/>
        <v>0</v>
      </c>
      <c r="F19" s="30">
        <f t="shared" si="1"/>
        <v>0</v>
      </c>
      <c r="G19" s="122">
        <f>DOT!$E$9/$E$35*E19</f>
        <v>0</v>
      </c>
    </row>
    <row r="20" spans="2:7" ht="12.75" customHeight="1" x14ac:dyDescent="0.25">
      <c r="B20" s="274" t="str">
        <f ca="1">DFIE!$B$43</f>
        <v>Basel-Stadt</v>
      </c>
      <c r="C20" s="313">
        <f>RP!I20</f>
        <v>155.90952849505592</v>
      </c>
      <c r="D20" s="156">
        <f>RP!G20</f>
        <v>199289.83333333334</v>
      </c>
      <c r="E20" s="95">
        <f t="shared" si="0"/>
        <v>11142200.615524946</v>
      </c>
      <c r="F20" s="29">
        <f t="shared" si="1"/>
        <v>1071.2312676607332</v>
      </c>
      <c r="G20" s="123">
        <f>DOT!$E$9/$E$35*E20</f>
        <v>213485500.79356292</v>
      </c>
    </row>
    <row r="21" spans="2:7" ht="12.75" customHeight="1" x14ac:dyDescent="0.25">
      <c r="B21" s="294" t="str">
        <f ca="1">DFIE!$B$44</f>
        <v>Basel-Landschaft</v>
      </c>
      <c r="C21" s="312">
        <f>RP!I21</f>
        <v>97.746223253710411</v>
      </c>
      <c r="D21" s="158">
        <f>RP!G21</f>
        <v>294010</v>
      </c>
      <c r="E21" s="96">
        <f t="shared" si="0"/>
        <v>0</v>
      </c>
      <c r="F21" s="30">
        <f t="shared" si="1"/>
        <v>0</v>
      </c>
      <c r="G21" s="122">
        <f>DOT!$E$9/$E$35*E21</f>
        <v>0</v>
      </c>
    </row>
    <row r="22" spans="2:7" ht="12.75" customHeight="1" x14ac:dyDescent="0.25">
      <c r="B22" s="274" t="str">
        <f ca="1">DFIE!$B$45</f>
        <v>Schaffhausen</v>
      </c>
      <c r="C22" s="313">
        <f>RP!I22</f>
        <v>108.10767781212986</v>
      </c>
      <c r="D22" s="156">
        <f>RP!G22</f>
        <v>84386.833333333328</v>
      </c>
      <c r="E22" s="95">
        <f t="shared" si="0"/>
        <v>684181.25625256752</v>
      </c>
      <c r="F22" s="29">
        <f t="shared" si="1"/>
        <v>155.34378869320471</v>
      </c>
      <c r="G22" s="123">
        <f>DOT!$E$9/$E$35*E22</f>
        <v>13108970.405822016</v>
      </c>
    </row>
    <row r="23" spans="2:7" ht="12.75" customHeight="1" x14ac:dyDescent="0.25">
      <c r="B23" s="294" t="str">
        <f ca="1">DFIE!$B$46</f>
        <v>Appenzell A.Rh.</v>
      </c>
      <c r="C23" s="312">
        <f>RP!I23</f>
        <v>86.594271033745002</v>
      </c>
      <c r="D23" s="158">
        <f>RP!G23</f>
        <v>55693</v>
      </c>
      <c r="E23" s="96">
        <f t="shared" si="0"/>
        <v>0</v>
      </c>
      <c r="F23" s="30">
        <f t="shared" si="1"/>
        <v>0</v>
      </c>
      <c r="G23" s="122">
        <f>DOT!$E$9/$E$35*E23</f>
        <v>0</v>
      </c>
    </row>
    <row r="24" spans="2:7" ht="12.75" customHeight="1" x14ac:dyDescent="0.25">
      <c r="B24" s="274" t="str">
        <f ca="1">DFIE!$B$47</f>
        <v>Appenzell I.Rh.</v>
      </c>
      <c r="C24" s="313">
        <f>RP!I24</f>
        <v>103.98039508633433</v>
      </c>
      <c r="D24" s="156">
        <f>RP!G24</f>
        <v>16378</v>
      </c>
      <c r="E24" s="95">
        <f t="shared" si="0"/>
        <v>65190.910723983594</v>
      </c>
      <c r="F24" s="29">
        <f t="shared" si="1"/>
        <v>76.26470458432739</v>
      </c>
      <c r="G24" s="123">
        <f>DOT!$E$9/$E$35*E24</f>
        <v>1249063.3316821139</v>
      </c>
    </row>
    <row r="25" spans="2:7" ht="12.75" customHeight="1" x14ac:dyDescent="0.25">
      <c r="B25" s="294" t="str">
        <f ca="1">DFIE!$B$48</f>
        <v>St. Gallen</v>
      </c>
      <c r="C25" s="312">
        <f>RP!I25</f>
        <v>78.537682557570122</v>
      </c>
      <c r="D25" s="158">
        <f>RP!G25</f>
        <v>520349.83333333331</v>
      </c>
      <c r="E25" s="96">
        <f t="shared" si="0"/>
        <v>0</v>
      </c>
      <c r="F25" s="30">
        <f t="shared" si="1"/>
        <v>0</v>
      </c>
      <c r="G25" s="122">
        <f>DOT!$E$9/$E$35*E25</f>
        <v>0</v>
      </c>
    </row>
    <row r="26" spans="2:7" ht="12.75" customHeight="1" x14ac:dyDescent="0.25">
      <c r="B26" s="274" t="str">
        <f ca="1">DFIE!$B$49</f>
        <v>Graubünden</v>
      </c>
      <c r="C26" s="313">
        <f>RP!I26</f>
        <v>93.50188577254842</v>
      </c>
      <c r="D26" s="156">
        <f>RP!G26</f>
        <v>207731.83333333334</v>
      </c>
      <c r="E26" s="95">
        <f t="shared" si="0"/>
        <v>0</v>
      </c>
      <c r="F26" s="29">
        <f t="shared" si="1"/>
        <v>0</v>
      </c>
      <c r="G26" s="123">
        <f>DOT!$E$9/$E$35*E26</f>
        <v>0</v>
      </c>
    </row>
    <row r="27" spans="2:7" ht="12.75" customHeight="1" x14ac:dyDescent="0.25">
      <c r="B27" s="294" t="str">
        <f ca="1">DFIE!$B$50</f>
        <v>Aargau</v>
      </c>
      <c r="C27" s="312">
        <f>RP!I27</f>
        <v>79.925042406362095</v>
      </c>
      <c r="D27" s="158">
        <f>RP!G27</f>
        <v>704060.16666666663</v>
      </c>
      <c r="E27" s="96">
        <f t="shared" si="0"/>
        <v>0</v>
      </c>
      <c r="F27" s="30">
        <f t="shared" si="1"/>
        <v>0</v>
      </c>
      <c r="G27" s="122">
        <f>DOT!$E$9/$E$35*E27</f>
        <v>0</v>
      </c>
    </row>
    <row r="28" spans="2:7" ht="12.75" customHeight="1" x14ac:dyDescent="0.25">
      <c r="B28" s="274" t="str">
        <f ca="1">DFIE!$B$51</f>
        <v>Thurgau</v>
      </c>
      <c r="C28" s="313">
        <f>RP!I28</f>
        <v>79.431463826824881</v>
      </c>
      <c r="D28" s="156">
        <f>RP!G28</f>
        <v>286644.33333333331</v>
      </c>
      <c r="E28" s="95">
        <f t="shared" si="0"/>
        <v>0</v>
      </c>
      <c r="F28" s="29">
        <f t="shared" si="1"/>
        <v>0</v>
      </c>
      <c r="G28" s="123">
        <f>DOT!$E$9/$E$35*E28</f>
        <v>0</v>
      </c>
    </row>
    <row r="29" spans="2:7" ht="12.75" customHeight="1" x14ac:dyDescent="0.25">
      <c r="B29" s="294" t="str">
        <f ca="1">DFIE!$B$52</f>
        <v>Tessin</v>
      </c>
      <c r="C29" s="312">
        <f>RP!I29</f>
        <v>91.116070758485591</v>
      </c>
      <c r="D29" s="158">
        <f>RP!G29</f>
        <v>354957.5</v>
      </c>
      <c r="E29" s="96">
        <f t="shared" si="0"/>
        <v>0</v>
      </c>
      <c r="F29" s="30">
        <f t="shared" si="1"/>
        <v>0</v>
      </c>
      <c r="G29" s="122">
        <f>DOT!$E$9/$E$35*E29</f>
        <v>0</v>
      </c>
    </row>
    <row r="30" spans="2:7" ht="12.75" customHeight="1" x14ac:dyDescent="0.25">
      <c r="B30" s="274" t="str">
        <f ca="1">DFIE!$B$53</f>
        <v>Waadt</v>
      </c>
      <c r="C30" s="313">
        <f>RP!I30</f>
        <v>99.678642535059396</v>
      </c>
      <c r="D30" s="156">
        <f>RP!G30</f>
        <v>828126.5</v>
      </c>
      <c r="E30" s="95">
        <f t="shared" si="0"/>
        <v>0</v>
      </c>
      <c r="F30" s="29">
        <f t="shared" si="1"/>
        <v>0</v>
      </c>
      <c r="G30" s="123">
        <f>DOT!$E$9/$E$35*E30</f>
        <v>0</v>
      </c>
    </row>
    <row r="31" spans="2:7" ht="12.75" customHeight="1" x14ac:dyDescent="0.25">
      <c r="B31" s="294" t="str">
        <f ca="1">DFIE!$B$54</f>
        <v>Wallis</v>
      </c>
      <c r="C31" s="312">
        <f>RP!I31</f>
        <v>68.567923742627272</v>
      </c>
      <c r="D31" s="158">
        <f>RP!G31</f>
        <v>359777.33333333331</v>
      </c>
      <c r="E31" s="96">
        <f t="shared" si="0"/>
        <v>0</v>
      </c>
      <c r="F31" s="30">
        <f t="shared" si="1"/>
        <v>0</v>
      </c>
      <c r="G31" s="122">
        <f>DOT!$E$9/$E$35*E31</f>
        <v>0</v>
      </c>
    </row>
    <row r="32" spans="2:7" ht="12.75" customHeight="1" x14ac:dyDescent="0.25">
      <c r="B32" s="274" t="str">
        <f ca="1">DFIE!$B$55</f>
        <v>Neuenburg</v>
      </c>
      <c r="C32" s="313">
        <f>RP!I32</f>
        <v>77.289783569693711</v>
      </c>
      <c r="D32" s="156">
        <f>RP!G32</f>
        <v>177792.33333333334</v>
      </c>
      <c r="E32" s="95">
        <f t="shared" si="0"/>
        <v>0</v>
      </c>
      <c r="F32" s="29">
        <f t="shared" si="1"/>
        <v>0</v>
      </c>
      <c r="G32" s="123">
        <f>DOT!$E$9/$E$35*E32</f>
        <v>0</v>
      </c>
    </row>
    <row r="33" spans="2:7" ht="12.75" customHeight="1" x14ac:dyDescent="0.25">
      <c r="B33" s="294" t="str">
        <f ca="1">DFIE!$B$56</f>
        <v>Genf</v>
      </c>
      <c r="C33" s="312">
        <f>RP!I33</f>
        <v>155.33116720068918</v>
      </c>
      <c r="D33" s="158">
        <f>RP!G33</f>
        <v>512107.83333333331</v>
      </c>
      <c r="E33" s="96">
        <f t="shared" si="0"/>
        <v>28335524.150949333</v>
      </c>
      <c r="F33" s="30">
        <f t="shared" si="1"/>
        <v>1060.1498166235424</v>
      </c>
      <c r="G33" s="122">
        <f>DOT!$E$9/$E$35*E33</f>
        <v>542911025.59981287</v>
      </c>
    </row>
    <row r="34" spans="2:7" ht="12.75" customHeight="1" x14ac:dyDescent="0.25">
      <c r="B34" s="274" t="str">
        <f ca="1">DFIE!$B$57</f>
        <v>Jura</v>
      </c>
      <c r="C34" s="313">
        <f>RP!I34</f>
        <v>64.456538235303611</v>
      </c>
      <c r="D34" s="156">
        <f>RP!G34</f>
        <v>74054.5</v>
      </c>
      <c r="E34" s="95">
        <f t="shared" si="0"/>
        <v>0</v>
      </c>
      <c r="F34" s="29">
        <f t="shared" si="1"/>
        <v>0</v>
      </c>
      <c r="G34" s="123">
        <f>DOT!$E$9/$E$35*E34</f>
        <v>0</v>
      </c>
    </row>
    <row r="35" spans="2:7" ht="12.75" customHeight="1" x14ac:dyDescent="0.25">
      <c r="B35" s="14" t="str">
        <f ca="1">DFIE!$B$58</f>
        <v>Schweiz</v>
      </c>
      <c r="C35" s="314">
        <f>RP!H35/RP!H$35*100</f>
        <v>100</v>
      </c>
      <c r="D35" s="55">
        <f>SUM(D9:D34)</f>
        <v>8785914</v>
      </c>
      <c r="E35" s="55">
        <f>SUM(E9:E34)</f>
        <v>107777457.85464545</v>
      </c>
      <c r="F35" s="26"/>
      <c r="G35" s="124">
        <f>SUM(G9:G34)</f>
        <v>2065025156.008832</v>
      </c>
    </row>
  </sheetData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4"/>
  <dimension ref="A1:J38"/>
  <sheetViews>
    <sheetView showGridLines="0" zoomScaleNormal="10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17.33203125" customWidth="1"/>
    <col min="3" max="3" width="15.33203125" customWidth="1"/>
    <col min="4" max="4" width="17.44140625" customWidth="1"/>
    <col min="5" max="5" width="16.6640625" customWidth="1"/>
    <col min="6" max="6" width="19.109375" customWidth="1"/>
    <col min="7" max="7" width="15.109375" customWidth="1"/>
    <col min="8" max="8" width="18.5546875" customWidth="1"/>
    <col min="9" max="9" width="15.6640625" customWidth="1"/>
    <col min="10" max="10" width="13.44140625" customWidth="1"/>
  </cols>
  <sheetData>
    <row r="1" spans="1:10" ht="22.5" customHeight="1" x14ac:dyDescent="0.3">
      <c r="B1" s="117" t="str">
        <f ca="1">DFIE!$B$233</f>
        <v>Standardisierter Steuerertrag (SSE) 2026</v>
      </c>
      <c r="C1" s="197"/>
      <c r="D1" s="197"/>
      <c r="E1" s="205"/>
      <c r="F1" s="199"/>
    </row>
    <row r="2" spans="1:10" ht="12.75" customHeight="1" x14ac:dyDescent="0.25">
      <c r="A2" s="206"/>
      <c r="C2" s="206"/>
      <c r="D2" s="206"/>
      <c r="E2" s="207"/>
      <c r="F2" s="208"/>
    </row>
    <row r="3" spans="1:10" ht="0.75" customHeight="1" x14ac:dyDescent="0.25">
      <c r="A3" s="206"/>
      <c r="C3" s="206"/>
      <c r="D3" s="206"/>
      <c r="E3" s="206"/>
      <c r="F3" s="206"/>
      <c r="G3" s="207"/>
      <c r="H3" s="207"/>
      <c r="I3" s="207"/>
      <c r="J3" s="208"/>
    </row>
    <row r="4" spans="1:10" ht="0.75" customHeight="1" x14ac:dyDescent="0.25">
      <c r="A4" s="206"/>
      <c r="C4" s="206"/>
      <c r="D4" s="206"/>
      <c r="E4" s="206"/>
      <c r="F4" s="206"/>
      <c r="G4" s="207"/>
      <c r="H4" s="207"/>
      <c r="I4" s="207"/>
      <c r="J4" s="208"/>
    </row>
    <row r="5" spans="1:10" ht="12" customHeight="1" x14ac:dyDescent="0.25">
      <c r="B5" s="67" t="str">
        <f ca="1">DFIE!$B$59</f>
        <v>Spalte</v>
      </c>
      <c r="C5" s="73" t="s">
        <v>30</v>
      </c>
      <c r="D5" s="68" t="s">
        <v>31</v>
      </c>
      <c r="E5" s="68" t="s">
        <v>32</v>
      </c>
      <c r="F5" s="68" t="s">
        <v>43</v>
      </c>
      <c r="G5" s="68" t="s">
        <v>42</v>
      </c>
      <c r="H5" s="68" t="s">
        <v>33</v>
      </c>
      <c r="I5" s="109" t="s">
        <v>34</v>
      </c>
      <c r="J5" s="2"/>
    </row>
    <row r="6" spans="1:10" ht="12" customHeight="1" x14ac:dyDescent="0.25">
      <c r="B6" s="67" t="str">
        <f ca="1">DFIE!$B$60</f>
        <v>Formel</v>
      </c>
      <c r="C6" s="75"/>
      <c r="D6" s="132"/>
      <c r="E6" s="132"/>
      <c r="F6" s="132" t="s">
        <v>75</v>
      </c>
      <c r="G6" s="132"/>
      <c r="H6" s="132" t="s">
        <v>76</v>
      </c>
      <c r="I6" s="112" t="str">
        <f ca="1">DFIE!$B$241</f>
        <v>H / F[Schweiz]</v>
      </c>
      <c r="J6" s="320"/>
    </row>
    <row r="7" spans="1:10" ht="63.75" customHeight="1" x14ac:dyDescent="0.25">
      <c r="B7" s="76"/>
      <c r="C7" s="105" t="str">
        <f ca="1">DFIE!$B$234</f>
        <v>Ressourcen-
index</v>
      </c>
      <c r="D7" s="105" t="str">
        <f ca="1">DFIE!$B$235</f>
        <v>Standardisierter
Steuerertrag
(SSE)</v>
      </c>
      <c r="E7" s="105" t="str">
        <f ca="1">DFIE!$B$236</f>
        <v>Massgebende
Wohn-
bevölkerung</v>
      </c>
      <c r="F7" s="105" t="str">
        <f ca="1">DFIE!$B$237</f>
        <v>Standardisierter
Steuerertrag pro
Einwohner vor
Ausgleich</v>
      </c>
      <c r="G7" s="105" t="str">
        <f ca="1">DFIE!$B$238</f>
        <v>Ressourcen-
ausgleich pro
Einwohner</v>
      </c>
      <c r="H7" s="105" t="str">
        <f ca="1">DFIE!$B$239</f>
        <v>Standardisierter
Steuerertrag pro
Einwohner nach
Ausgleich</v>
      </c>
      <c r="I7" s="324" t="str">
        <f ca="1">DFIE!$B$240</f>
        <v>Index SSE
nach
Ausgleich</v>
      </c>
      <c r="J7" s="321"/>
    </row>
    <row r="8" spans="1:10" ht="12.75" customHeight="1" x14ac:dyDescent="0.25">
      <c r="B8" s="67" t="str">
        <f ca="1">DFIE!$B$62</f>
        <v>Einheit</v>
      </c>
      <c r="C8" s="231" t="str">
        <f ca="1">DFIE!$B$66</f>
        <v>Punkte</v>
      </c>
      <c r="D8" s="35" t="str">
        <f ca="1">DFIE!$B$63</f>
        <v>CHF</v>
      </c>
      <c r="E8" s="35" t="str">
        <f ca="1">DFIE!$B$65</f>
        <v>Anzahl</v>
      </c>
      <c r="F8" s="35" t="str">
        <f ca="1">DFIE!$B$63</f>
        <v>CHF</v>
      </c>
      <c r="G8" s="318" t="str">
        <f ca="1">DFIE!$B$63</f>
        <v>CHF</v>
      </c>
      <c r="H8" s="318" t="str">
        <f ca="1">DFIE!$B$63</f>
        <v>CHF</v>
      </c>
      <c r="I8" s="317" t="str">
        <f ca="1">DFIE!$B$66</f>
        <v>Punkte</v>
      </c>
      <c r="J8" s="334"/>
    </row>
    <row r="9" spans="1:10" x14ac:dyDescent="0.25">
      <c r="B9" s="295" t="str">
        <f ca="1">DFIE!$B$32</f>
        <v>Zürich</v>
      </c>
      <c r="C9" s="335">
        <f>RP!I9</f>
        <v>116.70964252786342</v>
      </c>
      <c r="D9" s="94">
        <f>1000*RP!$F9*SST!$I$19</f>
        <v>18340431768.90181</v>
      </c>
      <c r="E9" s="94">
        <f>RP!G9</f>
        <v>1569617.5</v>
      </c>
      <c r="F9" s="94">
        <f t="shared" ref="F9:F35" si="0">D9/E9</f>
        <v>11684.650412537965</v>
      </c>
      <c r="G9" s="94">
        <f>SUM(-EINZ!G9,AUSZ!G9)/E9</f>
        <v>-320.15815602636889</v>
      </c>
      <c r="H9" s="94">
        <f t="shared" ref="H9:H34" si="1">F9+G9</f>
        <v>11364.492256511596</v>
      </c>
      <c r="I9" s="230">
        <f>100*H9/F$35</f>
        <v>113.51181096055161</v>
      </c>
      <c r="J9" s="323"/>
    </row>
    <row r="10" spans="1:10" x14ac:dyDescent="0.25">
      <c r="B10" s="322" t="str">
        <f ca="1">DFIE!$B$33</f>
        <v>Bern</v>
      </c>
      <c r="C10" s="329">
        <f>RP!I10</f>
        <v>72.367453705529144</v>
      </c>
      <c r="D10" s="326">
        <f>1000*RP!$F10*SST!$I$19</f>
        <v>7624868522.5920486</v>
      </c>
      <c r="E10" s="326">
        <f>RP!G10</f>
        <v>1052398.1666666667</v>
      </c>
      <c r="F10" s="326">
        <f t="shared" si="0"/>
        <v>7245.2316662074963</v>
      </c>
      <c r="G10" s="326">
        <f>SUM(-EINZ!G10,AUSZ!G10)/E10</f>
        <v>1444.0232202993152</v>
      </c>
      <c r="H10" s="326">
        <f t="shared" si="1"/>
        <v>8689.2548865068111</v>
      </c>
      <c r="I10" s="330">
        <f t="shared" ref="I10:I34" si="2">100*H10/F$35</f>
        <v>86.790772152628648</v>
      </c>
      <c r="J10" s="323"/>
    </row>
    <row r="11" spans="1:10" x14ac:dyDescent="0.25">
      <c r="B11" s="294" t="str">
        <f ca="1">DFIE!$B$34</f>
        <v>Luzern</v>
      </c>
      <c r="C11" s="327">
        <f>RP!I11</f>
        <v>91.816785302361296</v>
      </c>
      <c r="D11" s="96">
        <f>1000*RP!$F11*SST!$I$19</f>
        <v>3875815428.5115943</v>
      </c>
      <c r="E11" s="96">
        <f>RP!G11</f>
        <v>421630.5</v>
      </c>
      <c r="F11" s="96">
        <f t="shared" si="0"/>
        <v>9192.4455856765453</v>
      </c>
      <c r="G11" s="96">
        <f>SUM(-EINZ!G11,AUSZ!G11)/E11</f>
        <v>197.13374323284594</v>
      </c>
      <c r="H11" s="96">
        <f t="shared" si="1"/>
        <v>9389.5793289093908</v>
      </c>
      <c r="I11" s="221">
        <f t="shared" si="2"/>
        <v>93.785813719180496</v>
      </c>
      <c r="J11" s="323"/>
    </row>
    <row r="12" spans="1:10" x14ac:dyDescent="0.25">
      <c r="B12" s="274" t="str">
        <f ca="1">DFIE!$B$35</f>
        <v>Uri</v>
      </c>
      <c r="C12" s="328">
        <f>RP!I12</f>
        <v>70.029031395155158</v>
      </c>
      <c r="D12" s="95">
        <f>1000*RP!$F12*SST!$I$19</f>
        <v>261360353.02205116</v>
      </c>
      <c r="E12" s="95">
        <f>RP!G12</f>
        <v>37278</v>
      </c>
      <c r="F12" s="95">
        <f t="shared" si="0"/>
        <v>7011.1152160000847</v>
      </c>
      <c r="G12" s="95">
        <f>SUM(-EINZ!G12,AUSZ!G12)/E12</f>
        <v>1649.3198172833552</v>
      </c>
      <c r="H12" s="95">
        <f t="shared" si="1"/>
        <v>8660.4350332834401</v>
      </c>
      <c r="I12" s="222">
        <f t="shared" si="2"/>
        <v>86.502911185577716</v>
      </c>
      <c r="J12" s="323"/>
    </row>
    <row r="13" spans="1:10" x14ac:dyDescent="0.25">
      <c r="B13" s="294" t="str">
        <f ca="1">DFIE!$B$36</f>
        <v>Schwyz</v>
      </c>
      <c r="C13" s="327">
        <f>RP!I13</f>
        <v>185.74011499041171</v>
      </c>
      <c r="D13" s="96">
        <f>1000*RP!$F13*SST!$I$19</f>
        <v>3044810001.1937556</v>
      </c>
      <c r="E13" s="96">
        <f>RP!G13</f>
        <v>163736.5</v>
      </c>
      <c r="F13" s="96">
        <f t="shared" si="0"/>
        <v>18595.792637522823</v>
      </c>
      <c r="G13" s="96">
        <f>SUM(-EINZ!G13,AUSZ!G13)/E13</f>
        <v>-1642.7878135062049</v>
      </c>
      <c r="H13" s="96">
        <f t="shared" si="1"/>
        <v>16953.004824016618</v>
      </c>
      <c r="I13" s="221">
        <f t="shared" si="2"/>
        <v>169.33147872879897</v>
      </c>
      <c r="J13" s="323"/>
    </row>
    <row r="14" spans="1:10" x14ac:dyDescent="0.25">
      <c r="B14" s="274" t="str">
        <f ca="1">DFIE!$B$37</f>
        <v>Obwalden</v>
      </c>
      <c r="C14" s="328">
        <f>RP!I14</f>
        <v>107.47737344479098</v>
      </c>
      <c r="D14" s="95">
        <f>1000*RP!$F14*SST!$I$19</f>
        <v>416254819.45425153</v>
      </c>
      <c r="E14" s="95">
        <f>RP!G14</f>
        <v>38684.166666666664</v>
      </c>
      <c r="F14" s="95">
        <f t="shared" si="0"/>
        <v>10760.34086609728</v>
      </c>
      <c r="G14" s="95">
        <f>SUM(-EINZ!G14,AUSZ!G14)/E14</f>
        <v>-143.26710400973016</v>
      </c>
      <c r="H14" s="95">
        <f t="shared" si="1"/>
        <v>10617.07376208755</v>
      </c>
      <c r="I14" s="222">
        <f t="shared" si="2"/>
        <v>106.04638048354367</v>
      </c>
      <c r="J14" s="323"/>
    </row>
    <row r="15" spans="1:10" x14ac:dyDescent="0.25">
      <c r="B15" s="294" t="str">
        <f ca="1">DFIE!$B$38</f>
        <v>Nidwalden</v>
      </c>
      <c r="C15" s="327">
        <f>RP!I15</f>
        <v>157.53900438761849</v>
      </c>
      <c r="D15" s="96">
        <f>1000*RP!$F15*SST!$I$19</f>
        <v>693437703.44237041</v>
      </c>
      <c r="E15" s="96">
        <f>RP!G15</f>
        <v>43965.333333333336</v>
      </c>
      <c r="F15" s="96">
        <f t="shared" si="0"/>
        <v>15772.374524831012</v>
      </c>
      <c r="G15" s="96">
        <f>SUM(-EINZ!G15,AUSZ!G15)/E15</f>
        <v>-1102.452162792531</v>
      </c>
      <c r="H15" s="96">
        <f t="shared" si="1"/>
        <v>14669.92236203848</v>
      </c>
      <c r="I15" s="221">
        <f t="shared" si="2"/>
        <v>146.52739571462627</v>
      </c>
      <c r="J15" s="323"/>
    </row>
    <row r="16" spans="1:10" x14ac:dyDescent="0.25">
      <c r="B16" s="274" t="str">
        <f ca="1">DFIE!$B$39</f>
        <v>Glarus</v>
      </c>
      <c r="C16" s="328">
        <f>RP!I16</f>
        <v>71.174678456598144</v>
      </c>
      <c r="D16" s="95">
        <f>1000*RP!$F16*SST!$I$19</f>
        <v>295089469.94199228</v>
      </c>
      <c r="E16" s="95">
        <f>RP!G16</f>
        <v>41411.333333333336</v>
      </c>
      <c r="F16" s="95">
        <f t="shared" si="0"/>
        <v>7125.8142684448439</v>
      </c>
      <c r="G16" s="95">
        <f>SUM(-EINZ!G16,AUSZ!G16)/E16</f>
        <v>1547.4149011206289</v>
      </c>
      <c r="H16" s="95">
        <f t="shared" si="1"/>
        <v>8673.2291695654731</v>
      </c>
      <c r="I16" s="222">
        <f t="shared" si="2"/>
        <v>86.630702691460229</v>
      </c>
      <c r="J16" s="323"/>
    </row>
    <row r="17" spans="2:10" x14ac:dyDescent="0.25">
      <c r="B17" s="294" t="str">
        <f ca="1">DFIE!$B$40</f>
        <v>Zug</v>
      </c>
      <c r="C17" s="327">
        <f>RP!I17</f>
        <v>286.96675961359279</v>
      </c>
      <c r="D17" s="96">
        <f>1000*RP!$F17*SST!$I$19</f>
        <v>3759401676.0291901</v>
      </c>
      <c r="E17" s="96">
        <f>RP!G17</f>
        <v>130851.33333333333</v>
      </c>
      <c r="F17" s="96">
        <f t="shared" si="0"/>
        <v>28730.327618843701</v>
      </c>
      <c r="G17" s="96">
        <f>SUM(-EINZ!G17,AUSZ!G17)/E17</f>
        <v>-3582.2988371114548</v>
      </c>
      <c r="H17" s="96">
        <f t="shared" si="1"/>
        <v>25148.028781732246</v>
      </c>
      <c r="I17" s="221">
        <f t="shared" si="2"/>
        <v>251.18573049023652</v>
      </c>
      <c r="J17" s="323"/>
    </row>
    <row r="18" spans="2:10" x14ac:dyDescent="0.25">
      <c r="B18" s="274" t="str">
        <f ca="1">DFIE!$B$41</f>
        <v>Freiburg</v>
      </c>
      <c r="C18" s="328">
        <f>RP!I18</f>
        <v>71.891665424996631</v>
      </c>
      <c r="D18" s="95">
        <f>1000*RP!$F18*SST!$I$19</f>
        <v>2374364905.6697578</v>
      </c>
      <c r="E18" s="95">
        <f>RP!G18</f>
        <v>329883</v>
      </c>
      <c r="F18" s="95">
        <f t="shared" si="0"/>
        <v>7197.5970440118399</v>
      </c>
      <c r="G18" s="95">
        <f>SUM(-EINZ!G18,AUSZ!G18)/E18</f>
        <v>1484.9318323559921</v>
      </c>
      <c r="H18" s="95">
        <f t="shared" si="1"/>
        <v>8682.5288763678327</v>
      </c>
      <c r="I18" s="222">
        <f t="shared" si="2"/>
        <v>86.72359083258533</v>
      </c>
      <c r="J18" s="323"/>
    </row>
    <row r="19" spans="2:10" x14ac:dyDescent="0.25">
      <c r="B19" s="294" t="str">
        <f ca="1">DFIE!$B$42</f>
        <v>Solothurn</v>
      </c>
      <c r="C19" s="327">
        <f>RP!I19</f>
        <v>70.442677020010606</v>
      </c>
      <c r="D19" s="96">
        <f>1000*RP!$F19*SST!$I$19</f>
        <v>1982453946.8012104</v>
      </c>
      <c r="E19" s="96">
        <f>RP!G19</f>
        <v>281098.33333333331</v>
      </c>
      <c r="F19" s="96">
        <f t="shared" si="0"/>
        <v>7052.5282853611507</v>
      </c>
      <c r="G19" s="96">
        <f>SUM(-EINZ!G19,AUSZ!G19)/E19</f>
        <v>1612.2348608556638</v>
      </c>
      <c r="H19" s="96">
        <f t="shared" si="1"/>
        <v>8664.7631462168138</v>
      </c>
      <c r="I19" s="221">
        <f t="shared" si="2"/>
        <v>86.546141619988688</v>
      </c>
      <c r="J19" s="323"/>
    </row>
    <row r="20" spans="2:10" x14ac:dyDescent="0.25">
      <c r="B20" s="274" t="str">
        <f ca="1">DFIE!$B$43</f>
        <v>Basel-Stadt</v>
      </c>
      <c r="C20" s="328">
        <f>RP!I20</f>
        <v>155.90952849505592</v>
      </c>
      <c r="D20" s="95">
        <f>1000*RP!$F20*SST!$I$19</f>
        <v>3110762011.4541388</v>
      </c>
      <c r="E20" s="95">
        <f>RP!G20</f>
        <v>199289.83333333334</v>
      </c>
      <c r="F20" s="95">
        <f t="shared" si="0"/>
        <v>15609.235852242698</v>
      </c>
      <c r="G20" s="95">
        <f>SUM(-EINZ!G20,AUSZ!G20)/E20</f>
        <v>-1071.2312676607332</v>
      </c>
      <c r="H20" s="95">
        <f t="shared" si="1"/>
        <v>14538.004584581966</v>
      </c>
      <c r="I20" s="222">
        <f t="shared" si="2"/>
        <v>145.20976308494147</v>
      </c>
      <c r="J20" s="323"/>
    </row>
    <row r="21" spans="2:10" x14ac:dyDescent="0.25">
      <c r="B21" s="294" t="str">
        <f ca="1">DFIE!$B$44</f>
        <v>Basel-Landschaft</v>
      </c>
      <c r="C21" s="327">
        <f>RP!I21</f>
        <v>97.746223253710411</v>
      </c>
      <c r="D21" s="96">
        <f>1000*RP!$F21*SST!$I$19</f>
        <v>2877206764.6147189</v>
      </c>
      <c r="E21" s="96">
        <f>RP!G21</f>
        <v>294010</v>
      </c>
      <c r="F21" s="96">
        <f t="shared" si="0"/>
        <v>9786.0847066926945</v>
      </c>
      <c r="G21" s="96">
        <f>SUM(-EINZ!G21,AUSZ!G21)/E21</f>
        <v>23.898793373085546</v>
      </c>
      <c r="H21" s="96">
        <f t="shared" si="1"/>
        <v>9809.9835000657804</v>
      </c>
      <c r="I21" s="221">
        <f t="shared" si="2"/>
        <v>97.984931262332381</v>
      </c>
      <c r="J21" s="323"/>
    </row>
    <row r="22" spans="2:10" x14ac:dyDescent="0.25">
      <c r="B22" s="274" t="str">
        <f ca="1">DFIE!$B$45</f>
        <v>Schaffhausen</v>
      </c>
      <c r="C22" s="328">
        <f>RP!I22</f>
        <v>108.10767781212986</v>
      </c>
      <c r="D22" s="95">
        <f>1000*RP!$F22*SST!$I$19</f>
        <v>913356267.58332026</v>
      </c>
      <c r="E22" s="95">
        <f>RP!G22</f>
        <v>84386.833333333328</v>
      </c>
      <c r="F22" s="95">
        <f t="shared" si="0"/>
        <v>10823.445216571941</v>
      </c>
      <c r="G22" s="95">
        <f>SUM(-EINZ!G22,AUSZ!G22)/E22</f>
        <v>-155.34378869320471</v>
      </c>
      <c r="H22" s="95">
        <f t="shared" si="1"/>
        <v>10668.101427878737</v>
      </c>
      <c r="I22" s="222">
        <f t="shared" si="2"/>
        <v>106.55605945751883</v>
      </c>
      <c r="J22" s="323"/>
    </row>
    <row r="23" spans="2:10" x14ac:dyDescent="0.25">
      <c r="B23" s="15" t="str">
        <f ca="1">DFIE!$B$46</f>
        <v>Appenzell A.Rh.</v>
      </c>
      <c r="C23" s="327">
        <f>RP!I23</f>
        <v>86.594271033745002</v>
      </c>
      <c r="D23" s="96">
        <f>1000*RP!$F23*SST!$I$19</f>
        <v>482835015.37644398</v>
      </c>
      <c r="E23" s="96">
        <f>RP!G23</f>
        <v>55693</v>
      </c>
      <c r="F23" s="96">
        <f t="shared" si="0"/>
        <v>8669.5817315720815</v>
      </c>
      <c r="G23" s="96">
        <f>SUM(-EINZ!G23,AUSZ!G23)/E23</f>
        <v>442.12237677886026</v>
      </c>
      <c r="H23" s="96">
        <f t="shared" si="1"/>
        <v>9111.7041083509412</v>
      </c>
      <c r="I23" s="221">
        <f t="shared" si="2"/>
        <v>91.01031624910398</v>
      </c>
      <c r="J23" s="323"/>
    </row>
    <row r="24" spans="2:10" x14ac:dyDescent="0.25">
      <c r="B24" s="16" t="str">
        <f ca="1">DFIE!$B$47</f>
        <v>Appenzell I.Rh.</v>
      </c>
      <c r="C24" s="328">
        <f>RP!I24</f>
        <v>103.98039508633433</v>
      </c>
      <c r="D24" s="95">
        <f>1000*RP!$F24*SST!$I$19</f>
        <v>170498795.27125379</v>
      </c>
      <c r="E24" s="95">
        <f>RP!G24</f>
        <v>16378</v>
      </c>
      <c r="F24" s="95">
        <f t="shared" si="0"/>
        <v>10410.23295098631</v>
      </c>
      <c r="G24" s="95">
        <f>SUM(-EINZ!G24,AUSZ!G24)/E24</f>
        <v>-76.26470458432739</v>
      </c>
      <c r="H24" s="95">
        <f t="shared" si="1"/>
        <v>10333.968246401982</v>
      </c>
      <c r="I24" s="222">
        <f t="shared" si="2"/>
        <v>103.21864132432374</v>
      </c>
      <c r="J24" s="323"/>
    </row>
    <row r="25" spans="2:10" x14ac:dyDescent="0.25">
      <c r="B25" s="294" t="str">
        <f ca="1">DFIE!$B$48</f>
        <v>St. Gallen</v>
      </c>
      <c r="C25" s="327">
        <f>RP!I25</f>
        <v>78.537682557570122</v>
      </c>
      <c r="D25" s="96">
        <f>1000*RP!$F25*SST!$I$19</f>
        <v>4091499351.1535707</v>
      </c>
      <c r="E25" s="96">
        <f>RP!G25</f>
        <v>520349.83333333331</v>
      </c>
      <c r="F25" s="96">
        <f t="shared" si="0"/>
        <v>7862.9781140576979</v>
      </c>
      <c r="G25" s="96">
        <f>SUM(-EINZ!G25,AUSZ!G25)/E25</f>
        <v>954.97633109365825</v>
      </c>
      <c r="H25" s="96">
        <f t="shared" si="1"/>
        <v>8817.9544451513557</v>
      </c>
      <c r="I25" s="221">
        <f t="shared" si="2"/>
        <v>88.076260288994391</v>
      </c>
      <c r="J25" s="323"/>
    </row>
    <row r="26" spans="2:10" x14ac:dyDescent="0.25">
      <c r="B26" s="274" t="str">
        <f ca="1">DFIE!$B$49</f>
        <v>Graubünden</v>
      </c>
      <c r="C26" s="328">
        <f>RP!I26</f>
        <v>93.50188577254842</v>
      </c>
      <c r="D26" s="95">
        <f>1000*RP!$F26*SST!$I$19</f>
        <v>1944609524.4393618</v>
      </c>
      <c r="E26" s="95">
        <f>RP!G26</f>
        <v>207731.83333333334</v>
      </c>
      <c r="F26" s="95">
        <f t="shared" si="0"/>
        <v>9361.1532389404056</v>
      </c>
      <c r="G26" s="95">
        <f>SUM(-EINZ!G26,AUSZ!G26)/E26</f>
        <v>135.17646050714586</v>
      </c>
      <c r="H26" s="95">
        <f t="shared" si="1"/>
        <v>9496.3296994475513</v>
      </c>
      <c r="I26" s="222">
        <f t="shared" si="2"/>
        <v>94.852067063983782</v>
      </c>
      <c r="J26" s="323"/>
    </row>
    <row r="27" spans="2:10" x14ac:dyDescent="0.25">
      <c r="B27" s="294" t="str">
        <f ca="1">DFIE!$B$50</f>
        <v>Aargau</v>
      </c>
      <c r="C27" s="327">
        <f>RP!I27</f>
        <v>79.925042406362095</v>
      </c>
      <c r="D27" s="96">
        <f>1000*RP!$F27*SST!$I$19</f>
        <v>5633802706.490181</v>
      </c>
      <c r="E27" s="96">
        <f>RP!G27</f>
        <v>704060.16666666663</v>
      </c>
      <c r="F27" s="96">
        <f t="shared" si="0"/>
        <v>8001.8767901088677</v>
      </c>
      <c r="G27" s="96">
        <f>SUM(-EINZ!G27,AUSZ!G27)/E27</f>
        <v>856.05584933051421</v>
      </c>
      <c r="H27" s="96">
        <f t="shared" si="1"/>
        <v>8857.9326394393811</v>
      </c>
      <c r="I27" s="221">
        <f t="shared" si="2"/>
        <v>88.475573969723612</v>
      </c>
      <c r="J27" s="323"/>
    </row>
    <row r="28" spans="2:10" x14ac:dyDescent="0.25">
      <c r="B28" s="274" t="str">
        <f ca="1">DFIE!$B$51</f>
        <v>Thurgau</v>
      </c>
      <c r="C28" s="328">
        <f>RP!I28</f>
        <v>79.431463826824881</v>
      </c>
      <c r="D28" s="95">
        <f>1000*RP!$F28*SST!$I$19</f>
        <v>2279527896.5531697</v>
      </c>
      <c r="E28" s="95">
        <f>RP!G28</f>
        <v>286644.33333333331</v>
      </c>
      <c r="F28" s="95">
        <f t="shared" si="0"/>
        <v>7952.4610518023028</v>
      </c>
      <c r="G28" s="95">
        <f>SUM(-EINZ!G28,AUSZ!G28)/E28</f>
        <v>890.76611332311018</v>
      </c>
      <c r="H28" s="95">
        <f t="shared" si="1"/>
        <v>8843.2271651254123</v>
      </c>
      <c r="I28" s="222">
        <f t="shared" si="2"/>
        <v>88.328691470907543</v>
      </c>
      <c r="J28" s="323"/>
    </row>
    <row r="29" spans="2:10" x14ac:dyDescent="0.25">
      <c r="B29" s="294" t="str">
        <f ca="1">DFIE!$B$52</f>
        <v>Tessin</v>
      </c>
      <c r="C29" s="327">
        <f>RP!I29</f>
        <v>91.116070758485591</v>
      </c>
      <c r="D29" s="96">
        <f>1000*RP!$F29*SST!$I$19</f>
        <v>3238025948.667171</v>
      </c>
      <c r="E29" s="96">
        <f>RP!G29</f>
        <v>354957.5</v>
      </c>
      <c r="F29" s="96">
        <f t="shared" si="0"/>
        <v>9122.2919607760668</v>
      </c>
      <c r="G29" s="96">
        <f>SUM(-EINZ!G29,AUSZ!G29)/E29</f>
        <v>225.50090907812827</v>
      </c>
      <c r="H29" s="96">
        <f t="shared" si="1"/>
        <v>9347.7928698541946</v>
      </c>
      <c r="I29" s="221">
        <f t="shared" si="2"/>
        <v>93.368438570874474</v>
      </c>
      <c r="J29" s="323"/>
    </row>
    <row r="30" spans="2:10" x14ac:dyDescent="0.25">
      <c r="B30" s="274" t="str">
        <f ca="1">DFIE!$B$53</f>
        <v>Waadt</v>
      </c>
      <c r="C30" s="328">
        <f>RP!I30</f>
        <v>99.678642535059396</v>
      </c>
      <c r="D30" s="95">
        <f>1000*RP!$F30*SST!$I$19</f>
        <v>8264332498.9744558</v>
      </c>
      <c r="E30" s="95">
        <f>RP!G30</f>
        <v>828126.5</v>
      </c>
      <c r="F30" s="95">
        <f t="shared" si="0"/>
        <v>9979.5532433444114</v>
      </c>
      <c r="G30" s="95">
        <f>SUM(-EINZ!G30,AUSZ!G30)/E30</f>
        <v>0.98659555559228207</v>
      </c>
      <c r="H30" s="95">
        <f t="shared" si="1"/>
        <v>9980.5398389000038</v>
      </c>
      <c r="I30" s="222">
        <f t="shared" si="2"/>
        <v>99.688496934681822</v>
      </c>
      <c r="J30" s="323"/>
    </row>
    <row r="31" spans="2:10" x14ac:dyDescent="0.25">
      <c r="B31" s="294" t="str">
        <f ca="1">DFIE!$B$54</f>
        <v>Wallis</v>
      </c>
      <c r="C31" s="327">
        <f>RP!I31</f>
        <v>68.567923742627272</v>
      </c>
      <c r="D31" s="96">
        <f>1000*RP!$F31*SST!$I$19</f>
        <v>2469811350.601644</v>
      </c>
      <c r="E31" s="96">
        <f>RP!G31</f>
        <v>359777.33333333331</v>
      </c>
      <c r="F31" s="96">
        <f t="shared" si="0"/>
        <v>6864.833111410514</v>
      </c>
      <c r="G31" s="96">
        <f>SUM(-EINZ!G31,AUSZ!G31)/E31</f>
        <v>1795.310461929904</v>
      </c>
      <c r="H31" s="96">
        <f t="shared" si="1"/>
        <v>8660.1435733404178</v>
      </c>
      <c r="I31" s="221">
        <f t="shared" si="2"/>
        <v>86.500000000000028</v>
      </c>
      <c r="J31" s="323"/>
    </row>
    <row r="32" spans="2:10" x14ac:dyDescent="0.25">
      <c r="B32" s="274" t="str">
        <f ca="1">DFIE!$B$55</f>
        <v>Neuenburg</v>
      </c>
      <c r="C32" s="328">
        <f>RP!I32</f>
        <v>77.289783569693711</v>
      </c>
      <c r="D32" s="95">
        <f>1000*RP!$F32*SST!$I$19</f>
        <v>1375764520.9596286</v>
      </c>
      <c r="E32" s="95">
        <f>RP!G32</f>
        <v>177792.33333333334</v>
      </c>
      <c r="F32" s="95">
        <f t="shared" si="0"/>
        <v>7738.0418782191309</v>
      </c>
      <c r="G32" s="95">
        <f>SUM(-EINZ!G32,AUSZ!G32)/E32</f>
        <v>1047.5061834149426</v>
      </c>
      <c r="H32" s="95">
        <f t="shared" si="1"/>
        <v>8785.5480616340737</v>
      </c>
      <c r="I32" s="222">
        <f t="shared" si="2"/>
        <v>87.752576027814911</v>
      </c>
      <c r="J32" s="323"/>
    </row>
    <row r="33" spans="2:10" x14ac:dyDescent="0.25">
      <c r="B33" s="294" t="str">
        <f ca="1">DFIE!$B$56</f>
        <v>Genf</v>
      </c>
      <c r="C33" s="327">
        <f>RP!I33</f>
        <v>155.33116720068918</v>
      </c>
      <c r="D33" s="96">
        <f>1000*RP!$F33*SST!$I$19</f>
        <v>7963958884.8898411</v>
      </c>
      <c r="E33" s="96">
        <f>RP!G33</f>
        <v>512107.83333333331</v>
      </c>
      <c r="F33" s="96">
        <f t="shared" si="0"/>
        <v>15551.33190026028</v>
      </c>
      <c r="G33" s="96">
        <f>SUM(-EINZ!G33,AUSZ!G33)/E33</f>
        <v>-1060.1498166235424</v>
      </c>
      <c r="H33" s="96">
        <f t="shared" si="1"/>
        <v>14491.182083636737</v>
      </c>
      <c r="I33" s="221">
        <f t="shared" si="2"/>
        <v>144.74208650458658</v>
      </c>
      <c r="J33" s="323"/>
    </row>
    <row r="34" spans="2:10" x14ac:dyDescent="0.25">
      <c r="B34" s="274" t="str">
        <f ca="1">DFIE!$B$57</f>
        <v>Jura</v>
      </c>
      <c r="C34" s="328">
        <f>RP!I34</f>
        <v>64.456538235303611</v>
      </c>
      <c r="D34" s="95">
        <f>1000*RP!$F34*SST!$I$19</f>
        <v>477889420.03718448</v>
      </c>
      <c r="E34" s="95">
        <f>RP!G34</f>
        <v>74054.5</v>
      </c>
      <c r="F34" s="95">
        <f t="shared" si="0"/>
        <v>6453.2124318871165</v>
      </c>
      <c r="G34" s="95">
        <f>SUM(-EINZ!G34,AUSZ!G34)/E34</f>
        <v>2206.9311414533022</v>
      </c>
      <c r="H34" s="95">
        <f t="shared" si="1"/>
        <v>8660.1435733404178</v>
      </c>
      <c r="I34" s="222">
        <f t="shared" si="2"/>
        <v>86.500000000000028</v>
      </c>
      <c r="J34" s="323"/>
    </row>
    <row r="35" spans="2:10" ht="12.75" customHeight="1" x14ac:dyDescent="0.25">
      <c r="B35" s="14" t="str">
        <f ca="1">DFIE!$B$58</f>
        <v>Schweiz</v>
      </c>
      <c r="C35" s="325">
        <f>RP!I35</f>
        <v>100</v>
      </c>
      <c r="D35" s="55">
        <f>SUM(D9:D34)</f>
        <v>87962169552.626099</v>
      </c>
      <c r="E35" s="55">
        <f>SUM(E9:E34)</f>
        <v>8785914</v>
      </c>
      <c r="F35" s="55">
        <f t="shared" si="0"/>
        <v>10011.726674381982</v>
      </c>
      <c r="G35" s="55"/>
      <c r="H35" s="55"/>
      <c r="I35" s="223"/>
      <c r="J35" s="129"/>
    </row>
    <row r="36" spans="2:10" ht="7.5" customHeight="1" x14ac:dyDescent="0.25">
      <c r="B36" s="78"/>
      <c r="C36" s="331"/>
      <c r="D36" s="337"/>
      <c r="E36" s="337"/>
      <c r="F36" s="337"/>
      <c r="G36" s="337"/>
      <c r="H36" s="337"/>
      <c r="I36" s="331"/>
      <c r="J36" s="129"/>
    </row>
    <row r="37" spans="2:10" ht="15" customHeight="1" x14ac:dyDescent="0.25">
      <c r="B37" s="336" t="str">
        <f ca="1">DFIE!$B$242</f>
        <v>Minimum</v>
      </c>
      <c r="C37" s="332">
        <f>MIN(C9:C34)</f>
        <v>64.456538235303611</v>
      </c>
      <c r="D37" s="319"/>
      <c r="E37" s="319"/>
      <c r="F37" s="319"/>
      <c r="G37" s="319"/>
      <c r="H37" s="319"/>
      <c r="I37" s="333">
        <f>MIN(I9:I34)</f>
        <v>86.500000000000028</v>
      </c>
    </row>
    <row r="38" spans="2:10" ht="14.25" customHeight="1" x14ac:dyDescent="0.25">
      <c r="B38" s="40"/>
      <c r="C38" s="40"/>
      <c r="D38" s="40"/>
      <c r="E38" s="316"/>
      <c r="I38" s="40"/>
    </row>
  </sheetData>
  <pageMargins left="0.78740157480314965" right="0.78740157480314965" top="0.9055118110236221" bottom="0.78740157480314965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6"/>
  <sheetViews>
    <sheetView showGridLines="0" zoomScaleNormal="100" zoomScaleSheetLayoutView="70" workbookViewId="0">
      <pane ySplit="7" topLeftCell="A8" activePane="bottomLeft" state="frozen"/>
      <selection activeCell="J20" sqref="J20"/>
      <selection pane="bottomLeft" activeCell="A50" sqref="A50"/>
    </sheetView>
  </sheetViews>
  <sheetFormatPr baseColWidth="10" defaultRowHeight="13.2" x14ac:dyDescent="0.25"/>
  <cols>
    <col min="1" max="1" width="1.6640625" customWidth="1"/>
    <col min="2" max="2" width="3" customWidth="1"/>
    <col min="3" max="3" width="42.44140625" customWidth="1"/>
    <col min="4" max="4" width="9.33203125" customWidth="1"/>
    <col min="5" max="5" width="8.6640625" customWidth="1"/>
    <col min="6" max="12" width="12.33203125" customWidth="1"/>
  </cols>
  <sheetData>
    <row r="1" spans="1:12" ht="22.5" customHeight="1" x14ac:dyDescent="0.3">
      <c r="B1" s="117" t="str">
        <f ca="1">DFIE!$B$243</f>
        <v>Berechnung des Faktors Alpha für die massgebenden Vermögen im Bemessungsjahr 2022</v>
      </c>
    </row>
    <row r="2" spans="1:12" ht="12.75" customHeight="1" x14ac:dyDescent="0.25"/>
    <row r="3" spans="1:12" ht="0.75" customHeight="1" x14ac:dyDescent="0.25"/>
    <row r="4" spans="1:12" ht="0.75" customHeight="1" x14ac:dyDescent="0.25"/>
    <row r="5" spans="1:12" ht="0.75" customHeight="1" x14ac:dyDescent="0.25"/>
    <row r="6" spans="1:12" ht="33.75" customHeight="1" x14ac:dyDescent="0.25">
      <c r="B6" s="338"/>
      <c r="C6" s="366"/>
      <c r="D6" s="359"/>
      <c r="E6" s="359"/>
      <c r="F6" s="383">
        <f>DFIE!$G$3-9</f>
        <v>2017</v>
      </c>
      <c r="G6" s="383">
        <f>DFIE!$G$3-8</f>
        <v>2018</v>
      </c>
      <c r="H6" s="383">
        <f>DFIE!$G$3-7</f>
        <v>2019</v>
      </c>
      <c r="I6" s="383">
        <f>DFIE!$G$3-6</f>
        <v>2020</v>
      </c>
      <c r="J6" s="383">
        <f>DFIE!$G$3-5</f>
        <v>2021</v>
      </c>
      <c r="K6" s="383">
        <f>DFIE!$G$3-4</f>
        <v>2022</v>
      </c>
      <c r="L6" s="389" t="str">
        <f ca="1">DFIE!$B$260</f>
        <v>Mittelwert</v>
      </c>
    </row>
    <row r="7" spans="1:12" x14ac:dyDescent="0.25">
      <c r="A7" s="1"/>
      <c r="B7" s="339"/>
      <c r="D7" s="385" t="str">
        <f ca="1">DFIE!$B$62</f>
        <v>Einheit</v>
      </c>
      <c r="E7" s="385" t="str">
        <f ca="1">DFIE!$B$60</f>
        <v>Formel</v>
      </c>
      <c r="F7" s="384" t="s">
        <v>483</v>
      </c>
      <c r="G7" s="384" t="s">
        <v>484</v>
      </c>
      <c r="H7" s="384" t="s">
        <v>485</v>
      </c>
      <c r="I7" s="384" t="s">
        <v>486</v>
      </c>
      <c r="J7" s="384" t="s">
        <v>487</v>
      </c>
      <c r="K7" s="384" t="s">
        <v>488</v>
      </c>
      <c r="L7" s="390"/>
    </row>
    <row r="8" spans="1:12" ht="13.5" customHeight="1" x14ac:dyDescent="0.25">
      <c r="A8" s="79"/>
      <c r="B8" s="342"/>
      <c r="C8" s="343" t="str">
        <f ca="1">DFIE!$B$244</f>
        <v>Fiskaleinnahmen</v>
      </c>
      <c r="D8" s="386"/>
      <c r="E8" s="386"/>
      <c r="F8" s="344"/>
      <c r="G8" s="344"/>
      <c r="H8" s="344"/>
      <c r="I8" s="344"/>
      <c r="J8" s="344"/>
      <c r="K8" s="344"/>
      <c r="L8" s="361"/>
    </row>
    <row r="9" spans="1:12" ht="13.5" customHeight="1" x14ac:dyDescent="0.25">
      <c r="B9" s="345" t="s">
        <v>99</v>
      </c>
      <c r="C9" s="340" t="str">
        <f ca="1">DFIE!$B$245</f>
        <v>Einkommenssteuern natürliche Personen *</v>
      </c>
      <c r="D9" s="387" t="str">
        <f ca="1">DFIE!$B$64</f>
        <v>CHF 1'000</v>
      </c>
      <c r="E9" s="387"/>
      <c r="F9" s="368">
        <v>43477178.320419997</v>
      </c>
      <c r="G9" s="368">
        <v>44616705.029859997</v>
      </c>
      <c r="H9" s="368">
        <v>46133251.264600001</v>
      </c>
      <c r="I9" s="368">
        <v>46927770.9837</v>
      </c>
      <c r="J9" s="368">
        <v>46691447.56205</v>
      </c>
      <c r="K9" s="368">
        <v>48204753.287450001</v>
      </c>
      <c r="L9" s="362"/>
    </row>
    <row r="10" spans="1:12" ht="13.5" customHeight="1" x14ac:dyDescent="0.25">
      <c r="B10" s="345" t="s">
        <v>100</v>
      </c>
      <c r="C10" s="340" t="str">
        <f ca="1">DFIE!$B$246</f>
        <v>Quellensteuern natürliche Personen *</v>
      </c>
      <c r="D10" s="387" t="str">
        <f ca="1">DFIE!$B$64</f>
        <v>CHF 1'000</v>
      </c>
      <c r="E10" s="387"/>
      <c r="F10" s="368">
        <v>3833020.3042700002</v>
      </c>
      <c r="G10" s="368">
        <v>3746356.3199</v>
      </c>
      <c r="H10" s="368">
        <v>3483204.6693600002</v>
      </c>
      <c r="I10" s="368">
        <v>3627185.3713699998</v>
      </c>
      <c r="J10" s="368">
        <v>4195752.7671100004</v>
      </c>
      <c r="K10" s="368">
        <v>5269078.6007500002</v>
      </c>
      <c r="L10" s="362"/>
    </row>
    <row r="11" spans="1:12" ht="13.5" customHeight="1" x14ac:dyDescent="0.25">
      <c r="B11" s="342" t="s">
        <v>30</v>
      </c>
      <c r="C11" s="346" t="str">
        <f ca="1">DFIE!$B$247</f>
        <v>Direkte Bundessteuer (DBSt) natürliche Personen</v>
      </c>
      <c r="D11" s="386" t="str">
        <f ca="1">DFIE!$B$64</f>
        <v>CHF 1'000</v>
      </c>
      <c r="E11" s="386"/>
      <c r="F11" s="369">
        <v>10472054.90391</v>
      </c>
      <c r="G11" s="369">
        <v>11246044.03947</v>
      </c>
      <c r="H11" s="369">
        <v>11553647.269339999</v>
      </c>
      <c r="I11" s="369">
        <v>12122509.938759999</v>
      </c>
      <c r="J11" s="369">
        <v>12761920.42269</v>
      </c>
      <c r="K11" s="369">
        <v>12798079.20817</v>
      </c>
      <c r="L11" s="363"/>
    </row>
    <row r="12" spans="1:12" ht="13.5" customHeight="1" x14ac:dyDescent="0.25">
      <c r="B12" s="345" t="s">
        <v>31</v>
      </c>
      <c r="C12" s="340" t="str">
        <f ca="1">DFIE!$B$248</f>
        <v>Kantonsanteil an DBSt</v>
      </c>
      <c r="D12" s="387" t="str">
        <f ca="1">DFIE!$B$67</f>
        <v>Prozent</v>
      </c>
      <c r="E12" s="387"/>
      <c r="F12" s="382">
        <v>0.17</v>
      </c>
      <c r="G12" s="382">
        <v>0.17</v>
      </c>
      <c r="H12" s="382">
        <v>0.17</v>
      </c>
      <c r="I12" s="382">
        <v>0.21199999999999999</v>
      </c>
      <c r="J12" s="382">
        <v>0.21199999999999999</v>
      </c>
      <c r="K12" s="382">
        <v>0.21199999999999999</v>
      </c>
      <c r="L12" s="364"/>
    </row>
    <row r="13" spans="1:12" ht="13.5" customHeight="1" x14ac:dyDescent="0.25">
      <c r="B13" s="347" t="s">
        <v>32</v>
      </c>
      <c r="C13" s="348" t="str">
        <f ca="1">DFIE!$B$249</f>
        <v>Kantonsanteil an DBSt natürliche Personen</v>
      </c>
      <c r="D13" s="388" t="str">
        <f ca="1">DFIE!$B$64</f>
        <v>CHF 1'000</v>
      </c>
      <c r="E13" s="388" t="s">
        <v>503</v>
      </c>
      <c r="F13" s="370">
        <f>F11*F12</f>
        <v>1780249.3336647002</v>
      </c>
      <c r="G13" s="370">
        <f t="shared" ref="G13:K13" si="0">G11*G12</f>
        <v>1911827.4867099002</v>
      </c>
      <c r="H13" s="370">
        <f t="shared" si="0"/>
        <v>1964120.0357878001</v>
      </c>
      <c r="I13" s="370">
        <f t="shared" si="0"/>
        <v>2569972.1070171199</v>
      </c>
      <c r="J13" s="370">
        <f t="shared" si="0"/>
        <v>2705527.12961028</v>
      </c>
      <c r="K13" s="370">
        <f t="shared" si="0"/>
        <v>2713192.79213204</v>
      </c>
      <c r="L13" s="365"/>
    </row>
    <row r="14" spans="1:12" ht="13.5" customHeight="1" x14ac:dyDescent="0.25">
      <c r="B14" s="347" t="s">
        <v>43</v>
      </c>
      <c r="C14" s="341" t="str">
        <f ca="1">DFIE!$B$250</f>
        <v>Fiskaleinnahmen Einkommen</v>
      </c>
      <c r="D14" s="388" t="str">
        <f ca="1">DFIE!$B$64</f>
        <v>CHF 1'000</v>
      </c>
      <c r="E14" s="388" t="s">
        <v>490</v>
      </c>
      <c r="F14" s="370">
        <f>SUM(F9,F10,F13)</f>
        <v>49090447.958354697</v>
      </c>
      <c r="G14" s="370">
        <f t="shared" ref="G14:K14" si="1">SUM(G9,G10,G13)</f>
        <v>50274888.836469896</v>
      </c>
      <c r="H14" s="370">
        <f t="shared" si="1"/>
        <v>51580575.969747797</v>
      </c>
      <c r="I14" s="370">
        <f t="shared" si="1"/>
        <v>53124928.462087125</v>
      </c>
      <c r="J14" s="370">
        <f t="shared" si="1"/>
        <v>53592727.458770275</v>
      </c>
      <c r="K14" s="370">
        <f t="shared" si="1"/>
        <v>56187024.680332042</v>
      </c>
      <c r="L14" s="374">
        <f>AVERAGE(F14:K14)</f>
        <v>52308432.227626972</v>
      </c>
    </row>
    <row r="15" spans="1:12" ht="13.5" customHeight="1" x14ac:dyDescent="0.25">
      <c r="B15" s="349" t="s">
        <v>42</v>
      </c>
      <c r="C15" s="341" t="str">
        <f ca="1">DFIE!$B$251</f>
        <v>Vermögenssteuern natürliche Personen *</v>
      </c>
      <c r="D15" s="258" t="str">
        <f ca="1">DFIE!$B$64</f>
        <v>CHF 1'000</v>
      </c>
      <c r="E15" s="258"/>
      <c r="F15" s="371">
        <v>7321627.3724400001</v>
      </c>
      <c r="G15" s="372">
        <v>7616187.7740200004</v>
      </c>
      <c r="H15" s="372">
        <v>8019253.6591800004</v>
      </c>
      <c r="I15" s="372">
        <v>8328554.0057699997</v>
      </c>
      <c r="J15" s="372">
        <v>8703171.7002799995</v>
      </c>
      <c r="K15" s="373">
        <v>9014242.73697</v>
      </c>
      <c r="L15" s="374">
        <f>AVERAGE(F15:K15)</f>
        <v>8167172.8747766679</v>
      </c>
    </row>
    <row r="16" spans="1:12" ht="13.5" customHeight="1" x14ac:dyDescent="0.25">
      <c r="B16" s="350"/>
      <c r="C16" s="351"/>
      <c r="D16" s="355"/>
      <c r="E16" s="355"/>
      <c r="F16" s="354"/>
      <c r="G16" s="354"/>
      <c r="H16" s="354"/>
      <c r="I16" s="354"/>
      <c r="J16" s="354"/>
      <c r="K16" s="354"/>
      <c r="L16" s="351"/>
    </row>
    <row r="17" spans="2:12" ht="13.5" customHeight="1" x14ac:dyDescent="0.25">
      <c r="B17" s="342"/>
      <c r="C17" s="343" t="str">
        <f ca="1">DFIE!$B$252</f>
        <v>Daten Finanzausgleich</v>
      </c>
      <c r="D17" s="360"/>
      <c r="E17" s="360"/>
      <c r="F17" s="367"/>
      <c r="G17" s="367"/>
      <c r="H17" s="367"/>
      <c r="I17" s="367"/>
      <c r="J17" s="367"/>
      <c r="K17" s="367"/>
      <c r="L17" s="361"/>
    </row>
    <row r="18" spans="2:12" ht="13.5" customHeight="1" x14ac:dyDescent="0.25">
      <c r="B18" s="345" t="s">
        <v>33</v>
      </c>
      <c r="C18" s="340" t="str">
        <f ca="1">DFIE!$B$253</f>
        <v>Massgebende Einkommen der natürlichen Personen</v>
      </c>
      <c r="D18" s="387" t="str">
        <f ca="1">DFIE!$B$64</f>
        <v>CHF 1'000</v>
      </c>
      <c r="E18" s="387"/>
      <c r="F18" s="368">
        <v>186855586.69999999</v>
      </c>
      <c r="G18" s="368">
        <v>191621985.69999999</v>
      </c>
      <c r="H18" s="368">
        <v>198859544</v>
      </c>
      <c r="I18" s="375">
        <f>NP!$E$35</f>
        <v>198185289.58200002</v>
      </c>
      <c r="J18" s="375">
        <f>NP!$E$63</f>
        <v>208471297.24800006</v>
      </c>
      <c r="K18" s="375">
        <f>NP!$E$91</f>
        <v>216880549.46000004</v>
      </c>
      <c r="L18" s="362"/>
    </row>
    <row r="19" spans="2:12" ht="13.5" customHeight="1" x14ac:dyDescent="0.25">
      <c r="B19" s="345" t="s">
        <v>510</v>
      </c>
      <c r="C19" s="340" t="str">
        <f ca="1">DFIE!$B$254</f>
        <v>Massgebende quellenbesteuerte Einkommen</v>
      </c>
      <c r="D19" s="387" t="str">
        <f ca="1">DFIE!$B$64</f>
        <v>CHF 1'000</v>
      </c>
      <c r="E19" s="387"/>
      <c r="F19" s="368">
        <v>13640237.522798499</v>
      </c>
      <c r="G19" s="368">
        <v>13755588.2565479</v>
      </c>
      <c r="H19" s="368">
        <v>14052065.8783191</v>
      </c>
      <c r="I19" s="375">
        <f>QS!$X$35</f>
        <v>14028669.426476443</v>
      </c>
      <c r="J19" s="375">
        <f>QS!$X$63</f>
        <v>13403753.36969772</v>
      </c>
      <c r="K19" s="375">
        <f>QS!$X$91</f>
        <v>14645539.40218238</v>
      </c>
      <c r="L19" s="362"/>
    </row>
    <row r="20" spans="2:12" ht="13.5" customHeight="1" x14ac:dyDescent="0.25">
      <c r="B20" s="349" t="s">
        <v>35</v>
      </c>
      <c r="C20" s="341" t="str">
        <f ca="1">DFIE!$B$255</f>
        <v>Massgebende Einkommen</v>
      </c>
      <c r="D20" s="258" t="str">
        <f ca="1">DFIE!$B$64</f>
        <v>CHF 1'000</v>
      </c>
      <c r="E20" s="258" t="s">
        <v>494</v>
      </c>
      <c r="F20" s="376">
        <f t="shared" ref="F20:K20" si="2">SUM(F18:F19)</f>
        <v>200495824.2227985</v>
      </c>
      <c r="G20" s="376">
        <f t="shared" si="2"/>
        <v>205377573.95654789</v>
      </c>
      <c r="H20" s="376">
        <f t="shared" si="2"/>
        <v>212911609.87831908</v>
      </c>
      <c r="I20" s="376">
        <f t="shared" si="2"/>
        <v>212213959.00847647</v>
      </c>
      <c r="J20" s="376">
        <f t="shared" si="2"/>
        <v>221875050.61769778</v>
      </c>
      <c r="K20" s="376">
        <f t="shared" si="2"/>
        <v>231526088.86218241</v>
      </c>
      <c r="L20" s="374">
        <f>AVERAGE(F20:K20)</f>
        <v>214066684.42433703</v>
      </c>
    </row>
    <row r="21" spans="2:12" ht="13.5" customHeight="1" x14ac:dyDescent="0.25">
      <c r="B21" s="347" t="s">
        <v>496</v>
      </c>
      <c r="C21" s="348" t="str">
        <f ca="1">DFIE!$B$256</f>
        <v>Reinvermögen</v>
      </c>
      <c r="D21" s="388" t="str">
        <f ca="1">DFIE!$B$64</f>
        <v>CHF 1'000</v>
      </c>
      <c r="E21" s="388"/>
      <c r="F21" s="377">
        <v>2000486810.408</v>
      </c>
      <c r="G21" s="377">
        <v>2005371367.043</v>
      </c>
      <c r="H21" s="377">
        <v>2158416321.5419998</v>
      </c>
      <c r="I21" s="370">
        <f>VERM!$C$35</f>
        <v>2260141739.1599998</v>
      </c>
      <c r="J21" s="370">
        <f>VERM!$F$35</f>
        <v>2440498530.9349999</v>
      </c>
      <c r="K21" s="370">
        <f>VERM!$I$35</f>
        <v>2405138136.6900005</v>
      </c>
      <c r="L21" s="378">
        <f>AVERAGE(F21:K21)</f>
        <v>2211675484.2963333</v>
      </c>
    </row>
    <row r="22" spans="2:12" ht="13.5" customHeight="1" x14ac:dyDescent="0.25">
      <c r="B22" s="350"/>
      <c r="C22" s="351"/>
      <c r="D22" s="355"/>
      <c r="E22" s="355"/>
      <c r="F22" s="351"/>
      <c r="G22" s="351"/>
      <c r="H22" s="351"/>
      <c r="I22" s="351"/>
      <c r="J22" s="351"/>
      <c r="K22" s="351"/>
      <c r="L22" s="351"/>
    </row>
    <row r="23" spans="2:12" ht="13.5" customHeight="1" x14ac:dyDescent="0.25">
      <c r="B23" s="342" t="s">
        <v>469</v>
      </c>
      <c r="C23" s="346" t="str">
        <f ca="1">DFIE!$B$257</f>
        <v>Ausschöpfung der Einkommen</v>
      </c>
      <c r="D23" s="386" t="str">
        <f ca="1">DFIE!$B$67</f>
        <v>Prozent</v>
      </c>
      <c r="E23" s="386" t="s">
        <v>497</v>
      </c>
      <c r="F23" s="352"/>
      <c r="G23" s="352"/>
      <c r="H23" s="352"/>
      <c r="I23" s="352"/>
      <c r="J23" s="352"/>
      <c r="K23" s="352"/>
      <c r="L23" s="379">
        <f>L14/L20</f>
        <v>0.2443557827239374</v>
      </c>
    </row>
    <row r="24" spans="2:12" ht="13.5" customHeight="1" x14ac:dyDescent="0.25">
      <c r="B24" s="347" t="s">
        <v>499</v>
      </c>
      <c r="C24" s="348" t="str">
        <f ca="1">DFIE!$B$258</f>
        <v>Ausschöpfung der Vermögen</v>
      </c>
      <c r="D24" s="388" t="str">
        <f ca="1">DFIE!$B$67</f>
        <v>Prozent</v>
      </c>
      <c r="E24" s="388" t="s">
        <v>500</v>
      </c>
      <c r="F24" s="353"/>
      <c r="G24" s="353"/>
      <c r="H24" s="353"/>
      <c r="I24" s="353"/>
      <c r="J24" s="353"/>
      <c r="K24" s="353"/>
      <c r="L24" s="380">
        <f>L15/L21</f>
        <v>3.6927537212246742E-3</v>
      </c>
    </row>
    <row r="25" spans="2:12" ht="13.5" customHeight="1" x14ac:dyDescent="0.25">
      <c r="B25" s="350"/>
      <c r="C25" s="354"/>
      <c r="D25" s="355"/>
      <c r="E25" s="355"/>
      <c r="F25" s="351"/>
      <c r="G25" s="351"/>
      <c r="H25" s="351"/>
      <c r="I25" s="351"/>
      <c r="J25" s="351"/>
      <c r="K25" s="351"/>
      <c r="L25" s="354"/>
    </row>
    <row r="26" spans="2:12" ht="13.5" customHeight="1" x14ac:dyDescent="0.25">
      <c r="B26" s="356" t="s">
        <v>511</v>
      </c>
      <c r="C26" s="357" t="str">
        <f ca="1">DFIE!$B$259</f>
        <v>Alpha</v>
      </c>
      <c r="D26" s="259" t="str">
        <f ca="1">DFIE!$B$67</f>
        <v>Prozent</v>
      </c>
      <c r="E26" s="259" t="s">
        <v>502</v>
      </c>
      <c r="F26" s="358"/>
      <c r="G26" s="358"/>
      <c r="H26" s="358"/>
      <c r="I26" s="358"/>
      <c r="J26" s="358"/>
      <c r="K26" s="358"/>
      <c r="L26" s="381">
        <f>ROUND(L24/L23,3)</f>
        <v>1.4999999999999999E-2</v>
      </c>
    </row>
    <row r="27" spans="2:12" ht="13.5" customHeight="1" x14ac:dyDescent="0.25">
      <c r="B27" s="77"/>
      <c r="C27" s="77"/>
      <c r="D27" s="355"/>
      <c r="E27" s="355"/>
      <c r="F27" s="77"/>
      <c r="G27" s="77"/>
      <c r="H27" s="77"/>
      <c r="I27" s="77"/>
      <c r="J27" s="77"/>
      <c r="K27" s="77"/>
      <c r="L27" s="77"/>
    </row>
    <row r="28" spans="2:12" ht="13.5" customHeight="1" x14ac:dyDescent="0.25">
      <c r="B28" s="79"/>
      <c r="C28" s="77"/>
      <c r="D28" s="355"/>
      <c r="E28" s="355"/>
      <c r="F28" s="77"/>
      <c r="G28" s="77"/>
      <c r="H28" s="77"/>
      <c r="I28" s="77"/>
      <c r="J28" s="77"/>
      <c r="K28" s="77"/>
      <c r="L28" s="77"/>
    </row>
    <row r="29" spans="2:12" ht="13.5" customHeight="1" x14ac:dyDescent="0.25">
      <c r="B29" s="351" t="str">
        <f ca="1">DFIE!$B$261</f>
        <v>* Fiskaleinnahmen der Kantone und Gemeinden</v>
      </c>
      <c r="C29" s="110"/>
      <c r="D29" s="355"/>
      <c r="E29" s="355"/>
      <c r="F29" s="77"/>
      <c r="G29" s="77"/>
      <c r="H29" s="77"/>
      <c r="I29" s="77"/>
      <c r="J29" s="77"/>
      <c r="K29" s="77"/>
      <c r="L29" s="77"/>
    </row>
    <row r="30" spans="2:12" ht="12.75" customHeight="1" x14ac:dyDescent="0.25">
      <c r="B30" s="1"/>
      <c r="C30" s="199"/>
    </row>
    <row r="31" spans="2:12" ht="12.75" customHeight="1" x14ac:dyDescent="0.25">
      <c r="B31" s="1"/>
      <c r="C31" s="199"/>
    </row>
    <row r="32" spans="2:12" ht="12.75" customHeight="1" x14ac:dyDescent="0.25">
      <c r="B32" s="1"/>
      <c r="C32" s="199"/>
    </row>
    <row r="33" spans="1:12" ht="12.75" customHeight="1" x14ac:dyDescent="0.25"/>
    <row r="34" spans="1:12" ht="12.75" customHeight="1" x14ac:dyDescent="0.25">
      <c r="A34" s="40"/>
    </row>
    <row r="35" spans="1:12" ht="10.5" customHeight="1" x14ac:dyDescent="0.25">
      <c r="D35" s="199"/>
      <c r="E35" s="199"/>
      <c r="L35" s="40"/>
    </row>
    <row r="36" spans="1:12" x14ac:dyDescent="0.25">
      <c r="A36" s="34"/>
      <c r="D36" s="199"/>
      <c r="E36" s="199"/>
    </row>
  </sheetData>
  <conditionalFormatting sqref="F18:H19 F21:H21">
    <cfRule type="expression" dxfId="11" priority="7">
      <formula>ISBLANK(F18)</formula>
    </cfRule>
  </conditionalFormatting>
  <conditionalFormatting sqref="F9:K12 F15:K15">
    <cfRule type="expression" dxfId="10" priority="6">
      <formula>ISBLANK(F9)</formula>
    </cfRule>
  </conditionalFormatting>
  <pageMargins left="0.78740157480314965" right="0.59055118110236227" top="0.9055118110236221" bottom="0.78740157480314965" header="0.51181102362204722" footer="0.51181102362204722"/>
  <pageSetup paperSize="9" scale="88" orientation="landscape"/>
  <headerFooter scaleWithDoc="0" alignWithMargins="0">
    <oddHeader>&amp;L&amp;F&amp;R&amp;A</oddHeader>
    <oddFooter>&amp;C&amp;P /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K49"/>
  <sheetViews>
    <sheetView showGridLines="0" zoomScaleNormal="100" workbookViewId="0">
      <selection activeCell="A70" sqref="A70"/>
    </sheetView>
  </sheetViews>
  <sheetFormatPr baseColWidth="10" defaultRowHeight="13.2" x14ac:dyDescent="0.25"/>
  <cols>
    <col min="1" max="1" width="1.6640625" customWidth="1"/>
    <col min="2" max="2" width="17.6640625" customWidth="1"/>
    <col min="3" max="8" width="12.109375" customWidth="1"/>
    <col min="9" max="11" width="14.6640625" customWidth="1"/>
    <col min="12" max="12" width="8.6640625" customWidth="1"/>
    <col min="13" max="13" width="4.6640625" customWidth="1"/>
    <col min="14" max="14" width="5.44140625" customWidth="1"/>
    <col min="15" max="15" width="47.33203125" customWidth="1"/>
    <col min="16" max="16" width="9.6640625" customWidth="1"/>
    <col min="17" max="17" width="14.6640625" customWidth="1"/>
    <col min="18" max="24" width="12.5546875" customWidth="1"/>
    <col min="25" max="25" width="2" customWidth="1"/>
    <col min="26" max="26" width="4.6640625" customWidth="1"/>
    <col min="27" max="27" width="5" customWidth="1"/>
    <col min="28" max="28" width="38.33203125" customWidth="1"/>
    <col min="29" max="29" width="9.6640625" customWidth="1"/>
    <col min="30" max="30" width="13.6640625" customWidth="1"/>
    <col min="31" max="37" width="11.33203125" customWidth="1"/>
  </cols>
  <sheetData>
    <row r="1" spans="1:24" ht="22.5" customHeight="1" x14ac:dyDescent="0.3">
      <c r="B1" s="3" t="str">
        <f ca="1">DFIE!$B$262</f>
        <v>Berechnung der Faktoren Zeta für die Gewinne der juristischen Personen im Bemessungsjahr 2022</v>
      </c>
    </row>
    <row r="2" spans="1:24" ht="25.5" customHeight="1" x14ac:dyDescent="0.3">
      <c r="A2" s="417"/>
      <c r="B2" s="463" t="str">
        <f ca="1">DFIE!$B$263</f>
        <v>Berechnung Zeta-2*</v>
      </c>
      <c r="M2" s="463" t="str">
        <f ca="1">DFIE!$B$270</f>
        <v>Berechnung Zeta-2</v>
      </c>
      <c r="Q2" s="419"/>
    </row>
    <row r="3" spans="1:24" ht="13.5" customHeight="1" x14ac:dyDescent="0.25">
      <c r="B3" s="76" t="str">
        <f ca="1">DFIE!$B$59</f>
        <v>Spalte</v>
      </c>
      <c r="C3" s="398" t="s">
        <v>30</v>
      </c>
      <c r="D3" s="399" t="s">
        <v>31</v>
      </c>
      <c r="E3" s="399" t="s">
        <v>32</v>
      </c>
      <c r="F3" s="399" t="s">
        <v>43</v>
      </c>
      <c r="G3" s="399" t="s">
        <v>42</v>
      </c>
      <c r="H3" s="399" t="s">
        <v>33</v>
      </c>
      <c r="I3" s="400" t="s">
        <v>34</v>
      </c>
      <c r="J3" s="401" t="s">
        <v>35</v>
      </c>
      <c r="K3" s="401" t="s">
        <v>496</v>
      </c>
      <c r="M3" s="412"/>
      <c r="N3" s="411"/>
      <c r="O3" s="413"/>
      <c r="P3" s="414"/>
      <c r="Q3" s="414"/>
      <c r="R3" s="533">
        <f>DFIE!$G$3-9</f>
        <v>2017</v>
      </c>
      <c r="S3" s="533">
        <f>DFIE!$G$3-8</f>
        <v>2018</v>
      </c>
      <c r="T3" s="533">
        <f>DFIE!$G$3-7</f>
        <v>2019</v>
      </c>
      <c r="U3" s="533">
        <f>DFIE!$G$3-6</f>
        <v>2020</v>
      </c>
      <c r="V3" s="533">
        <f>DFIE!$G$3-5</f>
        <v>2021</v>
      </c>
      <c r="W3" s="534">
        <f>DFIE!$G$3-4</f>
        <v>2022</v>
      </c>
      <c r="X3" s="389" t="str">
        <f ca="1">DFIE!$B$265</f>
        <v>Mittelwert</v>
      </c>
    </row>
    <row r="4" spans="1:24" ht="13.5" customHeight="1" x14ac:dyDescent="0.25">
      <c r="B4" s="76" t="str">
        <f ca="1">DFIE!$B$60</f>
        <v>Formel</v>
      </c>
      <c r="C4" s="470"/>
      <c r="D4" s="471"/>
      <c r="E4" s="471"/>
      <c r="F4" s="471"/>
      <c r="G4" s="471"/>
      <c r="H4" s="471"/>
      <c r="I4" s="405"/>
      <c r="J4" s="405"/>
      <c r="K4" s="405" t="s">
        <v>701</v>
      </c>
      <c r="M4" s="416"/>
      <c r="N4" s="415"/>
      <c r="O4" s="415"/>
      <c r="P4" s="516" t="str">
        <f ca="1">DFIE!$B$62</f>
        <v>Einheit</v>
      </c>
      <c r="Q4" s="516" t="str">
        <f ca="1">DFIE!$B$60</f>
        <v>Formel</v>
      </c>
      <c r="R4" s="535" t="s">
        <v>483</v>
      </c>
      <c r="S4" s="535" t="s">
        <v>484</v>
      </c>
      <c r="T4" s="535" t="s">
        <v>485</v>
      </c>
      <c r="U4" s="535" t="s">
        <v>486</v>
      </c>
      <c r="V4" s="535" t="s">
        <v>487</v>
      </c>
      <c r="W4" s="536" t="s">
        <v>488</v>
      </c>
      <c r="X4" s="390"/>
    </row>
    <row r="5" spans="1:24" ht="13.5" customHeight="1" x14ac:dyDescent="0.25">
      <c r="B5" s="468"/>
      <c r="C5" s="621" t="str">
        <f ca="1">DFIE!$B$264</f>
        <v>Boxengewinne</v>
      </c>
      <c r="D5" s="622"/>
      <c r="E5" s="622"/>
      <c r="F5" s="622"/>
      <c r="G5" s="622"/>
      <c r="H5" s="622"/>
      <c r="I5" s="623"/>
      <c r="J5" s="629" t="str">
        <f ca="1">DFIE!$B$266</f>
        <v>Minder-
gewichtung</v>
      </c>
      <c r="K5" s="592" t="str">
        <f ca="1">DFIE!$B$267</f>
        <v>Gewichtete
Boxen-
gewinne</v>
      </c>
      <c r="M5" s="422" t="str">
        <f ca="1">DFIE!$B$271</f>
        <v>Fiskaleinnahmen juristische Personen</v>
      </c>
      <c r="N5" s="423"/>
      <c r="O5" s="424"/>
      <c r="P5" s="517"/>
      <c r="Q5" s="518"/>
      <c r="R5" s="434"/>
      <c r="S5" s="434"/>
      <c r="T5" s="434"/>
      <c r="U5" s="434"/>
      <c r="V5" s="434"/>
      <c r="W5" s="435"/>
      <c r="X5" s="462"/>
    </row>
    <row r="6" spans="1:24" ht="13.5" customHeight="1" x14ac:dyDescent="0.25">
      <c r="B6" s="468"/>
      <c r="C6" s="624"/>
      <c r="D6" s="625"/>
      <c r="E6" s="625"/>
      <c r="F6" s="625"/>
      <c r="G6" s="625"/>
      <c r="H6" s="625"/>
      <c r="I6" s="626"/>
      <c r="J6" s="630"/>
      <c r="K6" s="581"/>
      <c r="M6" s="425" t="s">
        <v>99</v>
      </c>
      <c r="N6" s="426" t="str">
        <f ca="1">DFIE!$B$272</f>
        <v>Ordentliche Gewinne</v>
      </c>
      <c r="O6" s="427"/>
      <c r="P6" s="519" t="str">
        <f ca="1">DFIE!$B$64</f>
        <v>CHF 1'000</v>
      </c>
      <c r="Q6" s="520"/>
      <c r="R6" s="479">
        <v>0</v>
      </c>
      <c r="S6" s="480">
        <v>0</v>
      </c>
      <c r="T6" s="480">
        <v>0</v>
      </c>
      <c r="U6" s="480">
        <v>129624571.45200001</v>
      </c>
      <c r="V6" s="480">
        <v>158963023.042</v>
      </c>
      <c r="W6" s="480">
        <v>176359235.39500001</v>
      </c>
      <c r="X6" s="483">
        <f>SUM(R6:W6)/COUNTIF($R$6:$W$6,"&gt;0")</f>
        <v>154982276.62966669</v>
      </c>
    </row>
    <row r="7" spans="1:24" ht="13.5" customHeight="1" x14ac:dyDescent="0.25">
      <c r="B7" s="468"/>
      <c r="C7" s="512"/>
      <c r="D7" s="513"/>
      <c r="E7" s="513"/>
      <c r="F7" s="513"/>
      <c r="G7" s="513"/>
      <c r="H7" s="513"/>
      <c r="I7" s="514"/>
      <c r="J7" s="630"/>
      <c r="K7" s="581"/>
      <c r="M7" s="425" t="s">
        <v>100</v>
      </c>
      <c r="N7" s="426" t="str">
        <f ca="1">DFIE!$B$273</f>
        <v>Boxengewinne</v>
      </c>
      <c r="O7" s="428"/>
      <c r="P7" s="519" t="str">
        <f ca="1">DFIE!$B$64</f>
        <v>CHF 1'000</v>
      </c>
      <c r="Q7" s="520"/>
      <c r="R7" s="481">
        <f t="shared" ref="R7:W7" si="0">C$36</f>
        <v>0</v>
      </c>
      <c r="S7" s="481">
        <f t="shared" si="0"/>
        <v>0</v>
      </c>
      <c r="T7" s="481">
        <f t="shared" si="0"/>
        <v>0</v>
      </c>
      <c r="U7" s="481">
        <f t="shared" si="0"/>
        <v>5443664.0340000009</v>
      </c>
      <c r="V7" s="481">
        <f t="shared" si="0"/>
        <v>4840814.1339999996</v>
      </c>
      <c r="W7" s="482">
        <f t="shared" si="0"/>
        <v>6394047.4850000003</v>
      </c>
      <c r="X7" s="483">
        <f>SUM(R7:W7)/COUNTIF($R$6:$W$6,"&gt;0")</f>
        <v>5559508.551</v>
      </c>
    </row>
    <row r="8" spans="1:24" ht="13.5" customHeight="1" x14ac:dyDescent="0.25">
      <c r="B8" s="469"/>
      <c r="C8" s="402">
        <f>DFIE!$G$3-9</f>
        <v>2017</v>
      </c>
      <c r="D8" s="403">
        <f>DFIE!$G$3-8</f>
        <v>2018</v>
      </c>
      <c r="E8" s="403">
        <f>DFIE!$G$3-7</f>
        <v>2019</v>
      </c>
      <c r="F8" s="403">
        <f>DFIE!$G$3-6</f>
        <v>2020</v>
      </c>
      <c r="G8" s="403">
        <f>DFIE!$G$3-5</f>
        <v>2021</v>
      </c>
      <c r="H8" s="403">
        <f>DFIE!$G$3-4</f>
        <v>2022</v>
      </c>
      <c r="I8" s="404" t="str">
        <f ca="1">DFIE!$B$265</f>
        <v>Mittelwert</v>
      </c>
      <c r="J8" s="404">
        <f>DFIE!$G$3-4</f>
        <v>2022</v>
      </c>
      <c r="K8" s="593"/>
      <c r="M8" s="429" t="s">
        <v>30</v>
      </c>
      <c r="N8" s="430" t="str">
        <f ca="1">DFIE!$B$274</f>
        <v>Gewinnsteuereinnahmen Kantone und Gemeinden</v>
      </c>
      <c r="O8" s="431"/>
      <c r="P8" s="521" t="str">
        <f ca="1">DFIE!$B$64</f>
        <v>CHF 1'000</v>
      </c>
      <c r="Q8" s="522"/>
      <c r="R8" s="484">
        <v>0</v>
      </c>
      <c r="S8" s="485">
        <v>0</v>
      </c>
      <c r="T8" s="485">
        <v>0</v>
      </c>
      <c r="U8" s="485">
        <v>9413700.2015300002</v>
      </c>
      <c r="V8" s="485">
        <v>10175117.118960001</v>
      </c>
      <c r="W8" s="485">
        <v>11290054.903039999</v>
      </c>
      <c r="X8" s="486">
        <f>SUM(R8:W8)/COUNTIF($R$6:$W$6,"&gt;0")</f>
        <v>10292957.407843335</v>
      </c>
    </row>
    <row r="9" spans="1:24" ht="13.5" customHeight="1" x14ac:dyDescent="0.25">
      <c r="B9" s="76" t="str">
        <f ca="1">DFIE!$B$62</f>
        <v>Einheit</v>
      </c>
      <c r="C9" s="114" t="str">
        <f ca="1">DFIE!$B$64</f>
        <v>CHF 1'000</v>
      </c>
      <c r="D9" s="35" t="str">
        <f ca="1">DFIE!$B$64</f>
        <v>CHF 1'000</v>
      </c>
      <c r="E9" s="35" t="str">
        <f ca="1">DFIE!$B$64</f>
        <v>CHF 1'000</v>
      </c>
      <c r="F9" s="35" t="str">
        <f ca="1">DFIE!$B$64</f>
        <v>CHF 1'000</v>
      </c>
      <c r="G9" s="35" t="str">
        <f ca="1">DFIE!$B$64</f>
        <v>CHF 1'000</v>
      </c>
      <c r="H9" s="35" t="str">
        <f ca="1">DFIE!$B$64</f>
        <v>CHF 1'000</v>
      </c>
      <c r="I9" s="393" t="str">
        <f ca="1">DFIE!$B$64</f>
        <v>CHF 1'000</v>
      </c>
      <c r="J9" s="393" t="str">
        <f ca="1">DFIE!$B$67</f>
        <v>Prozent</v>
      </c>
      <c r="K9" s="393" t="str">
        <f ca="1">DFIE!$B$64</f>
        <v>CHF 1'000</v>
      </c>
      <c r="M9" s="432" t="s">
        <v>31</v>
      </c>
      <c r="N9" s="423" t="str">
        <f ca="1">DFIE!$B$275</f>
        <v xml:space="preserve">Gewinnsteuereinnahmen DBSt </v>
      </c>
      <c r="O9" s="433"/>
      <c r="P9" s="523" t="str">
        <f ca="1">DFIE!$B$64</f>
        <v>CHF 1'000</v>
      </c>
      <c r="Q9" s="524"/>
      <c r="R9" s="487">
        <v>0</v>
      </c>
      <c r="S9" s="488">
        <v>0</v>
      </c>
      <c r="T9" s="488">
        <v>0</v>
      </c>
      <c r="U9" s="488">
        <v>12091728.76474</v>
      </c>
      <c r="V9" s="488">
        <v>12700690.577570001</v>
      </c>
      <c r="W9" s="489">
        <v>13600895.021269999</v>
      </c>
      <c r="X9" s="483">
        <f>SUM(R9:W9)/COUNTIF($R$6:$W$6,"&gt;0")</f>
        <v>12797771.454526668</v>
      </c>
    </row>
    <row r="10" spans="1:24" ht="13.5" customHeight="1" x14ac:dyDescent="0.25">
      <c r="B10" s="539" t="str">
        <f ca="1">DFIE!$B$32</f>
        <v>Zürich</v>
      </c>
      <c r="C10" s="51">
        <v>0</v>
      </c>
      <c r="D10" s="51">
        <v>0</v>
      </c>
      <c r="E10" s="51">
        <v>0</v>
      </c>
      <c r="F10" s="51">
        <v>78444.383000000002</v>
      </c>
      <c r="G10" s="51">
        <v>140964.85699999999</v>
      </c>
      <c r="H10" s="51">
        <v>329611.38900000002</v>
      </c>
      <c r="I10" s="155">
        <f t="shared" ref="I10:I35" si="1">SUM(C10:H10)/COUNTIF($R$6:$W$6,"&gt;0")</f>
        <v>183006.87633333332</v>
      </c>
      <c r="J10" s="540">
        <v>0.9</v>
      </c>
      <c r="K10" s="541">
        <f t="shared" ref="K10:K35" si="2">(1-J10)*I10</f>
        <v>18300.687633333328</v>
      </c>
      <c r="M10" s="425" t="s">
        <v>32</v>
      </c>
      <c r="N10" s="426" t="str">
        <f ca="1">DFIE!$B$276</f>
        <v>Kantonsanteil an DBSt</v>
      </c>
      <c r="O10" s="428"/>
      <c r="P10" s="519" t="str">
        <f ca="1">DFIE!$B$67</f>
        <v>Prozent</v>
      </c>
      <c r="Q10" s="520"/>
      <c r="R10" s="501">
        <v>0</v>
      </c>
      <c r="S10" s="502">
        <v>0</v>
      </c>
      <c r="T10" s="502">
        <v>0</v>
      </c>
      <c r="U10" s="502">
        <v>0.21199999999999999</v>
      </c>
      <c r="V10" s="502">
        <v>0.21199999999999999</v>
      </c>
      <c r="W10" s="503">
        <v>0.21199999999999999</v>
      </c>
      <c r="X10" s="504">
        <f>X11/X9</f>
        <v>0.21199999999999997</v>
      </c>
    </row>
    <row r="11" spans="1:24" ht="13.5" customHeight="1" x14ac:dyDescent="0.25">
      <c r="B11" s="458" t="str">
        <f ca="1">DFIE!$B$33</f>
        <v>Bern</v>
      </c>
      <c r="C11" s="53">
        <v>0</v>
      </c>
      <c r="D11" s="53">
        <v>0</v>
      </c>
      <c r="E11" s="53">
        <v>0</v>
      </c>
      <c r="F11" s="53">
        <v>670781.06799999997</v>
      </c>
      <c r="G11" s="53">
        <v>637709.14199999999</v>
      </c>
      <c r="H11" s="53">
        <v>277046.86499999999</v>
      </c>
      <c r="I11" s="157">
        <f t="shared" si="1"/>
        <v>528512.35833333328</v>
      </c>
      <c r="J11" s="478">
        <v>0.7</v>
      </c>
      <c r="K11" s="475">
        <f t="shared" si="2"/>
        <v>158553.70750000002</v>
      </c>
      <c r="M11" s="429" t="s">
        <v>43</v>
      </c>
      <c r="N11" s="430" t="str">
        <f ca="1">DFIE!$B$277</f>
        <v>Kantonsanteil an Gewinnsteuereinnahmen DBSt</v>
      </c>
      <c r="O11" s="431"/>
      <c r="P11" s="521" t="str">
        <f ca="1">DFIE!$B$64</f>
        <v>CHF 1'000</v>
      </c>
      <c r="Q11" s="522" t="s">
        <v>656</v>
      </c>
      <c r="R11" s="490">
        <f>R$10*R9</f>
        <v>0</v>
      </c>
      <c r="S11" s="490">
        <f t="shared" ref="S11:W11" si="3">S$10*S9</f>
        <v>0</v>
      </c>
      <c r="T11" s="490">
        <f t="shared" si="3"/>
        <v>0</v>
      </c>
      <c r="U11" s="490">
        <f t="shared" si="3"/>
        <v>2563446.4981248798</v>
      </c>
      <c r="V11" s="490">
        <f t="shared" si="3"/>
        <v>2692546.4024448399</v>
      </c>
      <c r="W11" s="491">
        <f t="shared" si="3"/>
        <v>2883389.7445092397</v>
      </c>
      <c r="X11" s="486">
        <f>SUM(R11:W11)/COUNTIF($R$6:$W$6,"&gt;0")</f>
        <v>2713127.5483596534</v>
      </c>
    </row>
    <row r="12" spans="1:24" ht="13.5" customHeight="1" x14ac:dyDescent="0.25">
      <c r="B12" s="474" t="str">
        <f ca="1">DFIE!$B$34</f>
        <v>Luzern</v>
      </c>
      <c r="C12" s="54">
        <v>0</v>
      </c>
      <c r="D12" s="54">
        <v>0</v>
      </c>
      <c r="E12" s="54">
        <v>0</v>
      </c>
      <c r="F12" s="54">
        <v>257.60000000000002</v>
      </c>
      <c r="G12" s="54">
        <v>94.6</v>
      </c>
      <c r="H12" s="54">
        <v>1424.8</v>
      </c>
      <c r="I12" s="159">
        <f t="shared" si="1"/>
        <v>592.33333333333337</v>
      </c>
      <c r="J12" s="477">
        <v>0.1</v>
      </c>
      <c r="K12" s="473">
        <f t="shared" si="2"/>
        <v>533.1</v>
      </c>
      <c r="M12" s="432" t="s">
        <v>42</v>
      </c>
      <c r="N12" s="423" t="str">
        <f ca="1">DFIE!$B$278</f>
        <v>Gewinnsteuereinnahmen total Kantone und Gemeinden</v>
      </c>
      <c r="O12" s="433"/>
      <c r="P12" s="523" t="str">
        <f ca="1">DFIE!$B$64</f>
        <v>CHF 1'000</v>
      </c>
      <c r="Q12" s="525" t="s">
        <v>657</v>
      </c>
      <c r="R12" s="492">
        <f>R8+R11</f>
        <v>0</v>
      </c>
      <c r="S12" s="493">
        <f t="shared" ref="S12:W12" si="4">S8+S11</f>
        <v>0</v>
      </c>
      <c r="T12" s="493">
        <f t="shared" si="4"/>
        <v>0</v>
      </c>
      <c r="U12" s="493">
        <f t="shared" si="4"/>
        <v>11977146.699654881</v>
      </c>
      <c r="V12" s="493">
        <f t="shared" si="4"/>
        <v>12867663.52140484</v>
      </c>
      <c r="W12" s="494">
        <f t="shared" si="4"/>
        <v>14173444.647549238</v>
      </c>
      <c r="X12" s="486">
        <f>SUM(R12:W12)/COUNTIF($R$6:$W$6,"&gt;0")</f>
        <v>13006084.956202986</v>
      </c>
    </row>
    <row r="13" spans="1:24" ht="13.5" customHeight="1" x14ac:dyDescent="0.25">
      <c r="B13" s="458" t="str">
        <f ca="1">DFIE!$B$35</f>
        <v>Uri</v>
      </c>
      <c r="C13" s="53">
        <v>0</v>
      </c>
      <c r="D13" s="53">
        <v>0</v>
      </c>
      <c r="E13" s="53">
        <v>0</v>
      </c>
      <c r="F13" s="53">
        <v>0</v>
      </c>
      <c r="G13" s="53">
        <v>0</v>
      </c>
      <c r="H13" s="53">
        <v>0</v>
      </c>
      <c r="I13" s="157">
        <f t="shared" si="1"/>
        <v>0</v>
      </c>
      <c r="J13" s="478">
        <v>0.3</v>
      </c>
      <c r="K13" s="475">
        <f t="shared" si="2"/>
        <v>0</v>
      </c>
      <c r="M13" s="422" t="str">
        <f ca="1">DFIE!$B$279</f>
        <v>Berechnung</v>
      </c>
      <c r="N13" s="439"/>
      <c r="O13" s="439"/>
      <c r="P13" s="438"/>
      <c r="Q13" s="526"/>
      <c r="R13" s="439"/>
      <c r="S13" s="442"/>
      <c r="T13" s="439"/>
      <c r="U13" s="439"/>
      <c r="V13" s="439"/>
    </row>
    <row r="14" spans="1:24" ht="13.5" customHeight="1" x14ac:dyDescent="0.25">
      <c r="B14" s="474" t="str">
        <f ca="1">DFIE!$B$36</f>
        <v>Schwyz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159">
        <f t="shared" si="1"/>
        <v>0</v>
      </c>
      <c r="J14" s="477">
        <v>0.9</v>
      </c>
      <c r="K14" s="473">
        <f t="shared" si="2"/>
        <v>0</v>
      </c>
      <c r="M14" s="425" t="s">
        <v>33</v>
      </c>
      <c r="N14" s="426"/>
      <c r="O14" s="440"/>
      <c r="P14" s="407"/>
      <c r="Q14" s="520" t="s">
        <v>658</v>
      </c>
      <c r="R14" s="627">
        <f>($X$6+$X$7)*$X$8</f>
        <v>1652449757043736.5</v>
      </c>
      <c r="S14" s="628"/>
      <c r="T14" s="436"/>
      <c r="U14" s="436"/>
      <c r="V14" s="436"/>
    </row>
    <row r="15" spans="1:24" ht="13.5" customHeight="1" x14ac:dyDescent="0.25">
      <c r="B15" s="458" t="str">
        <f ca="1">DFIE!$B$37</f>
        <v>Obwalden</v>
      </c>
      <c r="C15" s="53">
        <v>0</v>
      </c>
      <c r="D15" s="53">
        <v>0</v>
      </c>
      <c r="E15" s="53">
        <v>0</v>
      </c>
      <c r="F15" s="53">
        <v>11478.839</v>
      </c>
      <c r="G15" s="53">
        <v>74492.365000000005</v>
      </c>
      <c r="H15" s="53">
        <v>38872.654999999999</v>
      </c>
      <c r="I15" s="157">
        <f t="shared" si="1"/>
        <v>41614.619666666666</v>
      </c>
      <c r="J15" s="478">
        <v>0.9</v>
      </c>
      <c r="K15" s="475">
        <f t="shared" si="2"/>
        <v>4161.4619666666658</v>
      </c>
      <c r="M15" s="425" t="s">
        <v>34</v>
      </c>
      <c r="N15" s="426"/>
      <c r="O15" s="440"/>
      <c r="P15" s="407"/>
      <c r="Q15" s="520" t="s">
        <v>698</v>
      </c>
      <c r="R15" s="627">
        <f>($X$6+$X$7*$K$38)*$X$11</f>
        <v>423043422666075.38</v>
      </c>
      <c r="S15" s="628"/>
      <c r="T15" s="406"/>
      <c r="U15" s="406"/>
      <c r="V15" s="406"/>
      <c r="W15" s="406"/>
      <c r="X15" s="406"/>
    </row>
    <row r="16" spans="1:24" ht="13.5" customHeight="1" x14ac:dyDescent="0.25">
      <c r="B16" s="474" t="str">
        <f ca="1">DFIE!$B$38</f>
        <v>Nidwalden</v>
      </c>
      <c r="C16" s="54">
        <v>0</v>
      </c>
      <c r="D16" s="54">
        <v>0</v>
      </c>
      <c r="E16" s="54">
        <v>0</v>
      </c>
      <c r="F16" s="54">
        <v>14789.808999999999</v>
      </c>
      <c r="G16" s="54">
        <v>15185.286</v>
      </c>
      <c r="H16" s="54">
        <v>19098.050999999999</v>
      </c>
      <c r="I16" s="159">
        <f t="shared" si="1"/>
        <v>16357.715333333334</v>
      </c>
      <c r="J16" s="477">
        <v>0.9</v>
      </c>
      <c r="K16" s="473">
        <f t="shared" si="2"/>
        <v>1635.7715333333331</v>
      </c>
      <c r="M16" s="429" t="s">
        <v>35</v>
      </c>
      <c r="N16" s="464" t="str">
        <f ca="1">DFIE!$B$280</f>
        <v>Zeta-2 (ohne Berücksichtigung der Bandbreiten)</v>
      </c>
      <c r="O16" s="441"/>
      <c r="P16" s="465"/>
      <c r="Q16" s="522" t="s">
        <v>699</v>
      </c>
      <c r="R16" s="437"/>
      <c r="S16" s="511">
        <f>(K38*R14+R15)/(R14+R15)</f>
        <v>0.3387821759046456</v>
      </c>
      <c r="T16" s="406"/>
      <c r="U16" s="406"/>
      <c r="V16" s="406"/>
      <c r="W16" s="406"/>
      <c r="X16" s="406"/>
    </row>
    <row r="17" spans="2:34" ht="13.5" customHeight="1" x14ac:dyDescent="0.25">
      <c r="B17" s="458" t="str">
        <f ca="1">DFIE!$B$39</f>
        <v>Glarus</v>
      </c>
      <c r="C17" s="53">
        <v>0</v>
      </c>
      <c r="D17" s="53">
        <v>0</v>
      </c>
      <c r="E17" s="53">
        <v>0</v>
      </c>
      <c r="F17" s="53">
        <v>0</v>
      </c>
      <c r="G17" s="53">
        <v>0</v>
      </c>
      <c r="H17" s="53">
        <v>0</v>
      </c>
      <c r="I17" s="157">
        <f t="shared" si="1"/>
        <v>0</v>
      </c>
      <c r="J17" s="478">
        <v>0.1</v>
      </c>
      <c r="K17" s="475">
        <f t="shared" si="2"/>
        <v>0</v>
      </c>
      <c r="M17" s="422" t="str">
        <f ca="1">DFIE!$B$281</f>
        <v>Bandbreite von Zeta-2</v>
      </c>
      <c r="N17" s="423"/>
      <c r="O17" s="424"/>
      <c r="P17" s="443"/>
      <c r="Q17" s="523"/>
      <c r="R17" s="423"/>
      <c r="S17" s="433"/>
      <c r="T17" s="406"/>
      <c r="U17" s="406"/>
      <c r="V17" s="406"/>
      <c r="W17" s="406"/>
      <c r="X17" s="406"/>
    </row>
    <row r="18" spans="2:34" ht="13.5" customHeight="1" x14ac:dyDescent="0.25">
      <c r="B18" s="474" t="str">
        <f ca="1">DFIE!$B$40</f>
        <v>Zug</v>
      </c>
      <c r="C18" s="54">
        <v>0</v>
      </c>
      <c r="D18" s="54">
        <v>0</v>
      </c>
      <c r="E18" s="54">
        <v>0</v>
      </c>
      <c r="F18" s="54">
        <v>680247.3</v>
      </c>
      <c r="G18" s="54">
        <v>544175.6</v>
      </c>
      <c r="H18" s="54">
        <v>622867.75800000003</v>
      </c>
      <c r="I18" s="159">
        <f t="shared" si="1"/>
        <v>615763.55266666657</v>
      </c>
      <c r="J18" s="477">
        <v>0.9</v>
      </c>
      <c r="K18" s="473">
        <f t="shared" si="2"/>
        <v>61576.355266666644</v>
      </c>
      <c r="M18" s="425" t="s">
        <v>496</v>
      </c>
      <c r="N18" s="426" t="str">
        <f ca="1">DFIE!$B$282</f>
        <v>Obere Grenze der Bandbreite (Art. 57d Abs. 2 Bst. b FiLaV)</v>
      </c>
      <c r="O18" s="426"/>
      <c r="P18" s="440"/>
      <c r="Q18" s="527"/>
      <c r="R18" s="440"/>
      <c r="S18" s="508">
        <v>0.375</v>
      </c>
      <c r="T18" s="406"/>
      <c r="U18" s="406"/>
      <c r="V18" s="406"/>
      <c r="W18" s="406"/>
      <c r="X18" s="406"/>
    </row>
    <row r="19" spans="2:34" ht="13.5" customHeight="1" x14ac:dyDescent="0.25">
      <c r="B19" s="458" t="str">
        <f ca="1">DFIE!$B$41</f>
        <v>Freiburg</v>
      </c>
      <c r="C19" s="53">
        <v>0</v>
      </c>
      <c r="D19" s="53">
        <v>0</v>
      </c>
      <c r="E19" s="53">
        <v>0</v>
      </c>
      <c r="F19" s="53">
        <v>46602.69</v>
      </c>
      <c r="G19" s="53">
        <v>62550.235000000001</v>
      </c>
      <c r="H19" s="53">
        <v>67253.98</v>
      </c>
      <c r="I19" s="157">
        <f t="shared" si="1"/>
        <v>58802.301666666666</v>
      </c>
      <c r="J19" s="478">
        <v>0.9</v>
      </c>
      <c r="K19" s="475">
        <f t="shared" si="2"/>
        <v>5880.2301666666654</v>
      </c>
      <c r="M19" s="429" t="s">
        <v>469</v>
      </c>
      <c r="N19" s="430" t="str">
        <f ca="1">DFIE!$B$283</f>
        <v>Untere Grenze der Bandbreite (Art. 57d Abs. 2 Bst. b FiLaV)</v>
      </c>
      <c r="O19" s="430"/>
      <c r="P19" s="441"/>
      <c r="Q19" s="528"/>
      <c r="R19" s="441"/>
      <c r="S19" s="509">
        <v>0.27500000000000002</v>
      </c>
      <c r="U19" s="392"/>
      <c r="V19" s="392"/>
      <c r="W19" s="408"/>
      <c r="X19" s="408"/>
    </row>
    <row r="20" spans="2:34" ht="13.5" customHeight="1" x14ac:dyDescent="0.25">
      <c r="B20" s="474" t="str">
        <f ca="1">DFIE!$B$42</f>
        <v>Solothurn</v>
      </c>
      <c r="C20" s="54">
        <v>0</v>
      </c>
      <c r="D20" s="54">
        <v>0</v>
      </c>
      <c r="E20" s="54">
        <v>0</v>
      </c>
      <c r="F20" s="54">
        <v>1352.9</v>
      </c>
      <c r="G20" s="54">
        <v>2240.7539999999999</v>
      </c>
      <c r="H20" s="54">
        <v>2363.2860000000001</v>
      </c>
      <c r="I20" s="159">
        <f t="shared" si="1"/>
        <v>1985.6466666666668</v>
      </c>
      <c r="J20" s="477">
        <v>0.9</v>
      </c>
      <c r="K20" s="473">
        <f t="shared" si="2"/>
        <v>198.56466666666662</v>
      </c>
      <c r="M20" s="451" t="s">
        <v>499</v>
      </c>
      <c r="N20" s="455" t="s">
        <v>671</v>
      </c>
      <c r="O20" s="453" t="str">
        <f ca="1">DFIE!$B$284</f>
        <v>Zeta-2</v>
      </c>
      <c r="P20" s="455"/>
      <c r="Q20" s="529" t="s">
        <v>695</v>
      </c>
      <c r="R20" s="456"/>
      <c r="S20" s="515">
        <f>IF($K$38=0,0,ROUND(MAX($S$19,MIN($S$18,S16)),3))</f>
        <v>0.33900000000000002</v>
      </c>
      <c r="U20" s="392"/>
      <c r="V20" s="392"/>
      <c r="W20" s="408"/>
      <c r="X20" s="408"/>
    </row>
    <row r="21" spans="2:34" ht="13.5" customHeight="1" x14ac:dyDescent="0.25">
      <c r="B21" s="458" t="str">
        <f ca="1">DFIE!$B$43</f>
        <v>Basel-Stadt</v>
      </c>
      <c r="C21" s="53">
        <v>0</v>
      </c>
      <c r="D21" s="53">
        <v>0</v>
      </c>
      <c r="E21" s="53">
        <v>0</v>
      </c>
      <c r="F21" s="53">
        <v>2995971.4</v>
      </c>
      <c r="G21" s="53">
        <v>2285235.7999999998</v>
      </c>
      <c r="H21" s="53">
        <v>3836862.3480000002</v>
      </c>
      <c r="I21" s="157">
        <f t="shared" si="1"/>
        <v>3039356.5160000003</v>
      </c>
      <c r="J21" s="478">
        <v>0.9</v>
      </c>
      <c r="K21" s="475">
        <f t="shared" si="2"/>
        <v>303935.65159999998</v>
      </c>
      <c r="U21" s="392"/>
      <c r="V21" s="392"/>
      <c r="W21" s="392"/>
      <c r="X21" s="421"/>
    </row>
    <row r="22" spans="2:34" ht="13.5" customHeight="1" x14ac:dyDescent="0.25">
      <c r="B22" s="474" t="str">
        <f ca="1">DFIE!$B$44</f>
        <v>Basel-Landschaft</v>
      </c>
      <c r="C22" s="54">
        <v>0</v>
      </c>
      <c r="D22" s="54">
        <v>0</v>
      </c>
      <c r="E22" s="54">
        <v>0</v>
      </c>
      <c r="F22" s="54">
        <v>67909.872000000003</v>
      </c>
      <c r="G22" s="54">
        <v>105311.38400000001</v>
      </c>
      <c r="H22" s="54">
        <v>24576</v>
      </c>
      <c r="I22" s="159">
        <f t="shared" si="1"/>
        <v>65932.418666666665</v>
      </c>
      <c r="J22" s="477">
        <v>0.9</v>
      </c>
      <c r="K22" s="473">
        <f t="shared" si="2"/>
        <v>6593.2418666666654</v>
      </c>
      <c r="U22" s="406"/>
      <c r="V22" s="406"/>
      <c r="W22" s="406"/>
      <c r="X22" s="410"/>
    </row>
    <row r="23" spans="2:34" ht="13.5" customHeight="1" x14ac:dyDescent="0.3">
      <c r="B23" s="458" t="str">
        <f ca="1">DFIE!$B$45</f>
        <v>Schaffhausen</v>
      </c>
      <c r="C23" s="53">
        <v>0</v>
      </c>
      <c r="D23" s="53">
        <v>0</v>
      </c>
      <c r="E23" s="53">
        <v>0</v>
      </c>
      <c r="F23" s="53">
        <v>0</v>
      </c>
      <c r="G23" s="53">
        <v>0</v>
      </c>
      <c r="H23" s="53">
        <v>0</v>
      </c>
      <c r="I23" s="157">
        <f t="shared" si="1"/>
        <v>0</v>
      </c>
      <c r="J23" s="478">
        <v>0.9</v>
      </c>
      <c r="K23" s="475">
        <f t="shared" si="2"/>
        <v>0</v>
      </c>
      <c r="M23" s="463" t="str">
        <f ca="1">DFIE!$B$285</f>
        <v>Berechnung Zeta-1</v>
      </c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</row>
    <row r="24" spans="2:34" ht="13.5" customHeight="1" x14ac:dyDescent="0.25">
      <c r="B24" s="474" t="str">
        <f ca="1">DFIE!$B$46</f>
        <v>Appenzell A.Rh.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159">
        <f t="shared" si="1"/>
        <v>0</v>
      </c>
      <c r="J24" s="477">
        <v>0.5</v>
      </c>
      <c r="K24" s="473">
        <f t="shared" si="2"/>
        <v>0</v>
      </c>
      <c r="M24" s="444"/>
      <c r="N24" s="423"/>
      <c r="O24" s="424"/>
      <c r="P24" s="414"/>
      <c r="Q24" s="414"/>
      <c r="R24" s="537">
        <f>DFIE!$G$3-9</f>
        <v>2017</v>
      </c>
      <c r="S24" s="533">
        <f>DFIE!$G$3-8</f>
        <v>2018</v>
      </c>
      <c r="T24" s="533">
        <f>DFIE!$G$3-7</f>
        <v>2019</v>
      </c>
      <c r="U24" s="533">
        <f>DFIE!$G$3-6</f>
        <v>2020</v>
      </c>
      <c r="V24" s="533">
        <f>DFIE!$G$3-5</f>
        <v>2021</v>
      </c>
      <c r="W24" s="534">
        <f>DFIE!$G$3-4</f>
        <v>2022</v>
      </c>
      <c r="X24" s="389" t="str">
        <f ca="1">DFIE!$B$265</f>
        <v>Mittelwert</v>
      </c>
    </row>
    <row r="25" spans="2:34" ht="13.5" customHeight="1" x14ac:dyDescent="0.25">
      <c r="B25" s="458" t="str">
        <f ca="1">DFIE!$B$47</f>
        <v>Appenzell I.Rh.</v>
      </c>
      <c r="C25" s="53">
        <v>0</v>
      </c>
      <c r="D25" s="53">
        <v>0</v>
      </c>
      <c r="E25" s="53">
        <v>0</v>
      </c>
      <c r="F25" s="53">
        <v>0</v>
      </c>
      <c r="G25" s="53">
        <v>0</v>
      </c>
      <c r="H25" s="53">
        <v>0</v>
      </c>
      <c r="I25" s="157">
        <f t="shared" si="1"/>
        <v>0</v>
      </c>
      <c r="J25" s="478">
        <v>0.5</v>
      </c>
      <c r="K25" s="475">
        <f t="shared" si="2"/>
        <v>0</v>
      </c>
      <c r="M25" s="445"/>
      <c r="N25" s="446"/>
      <c r="O25" s="446"/>
      <c r="P25" s="516" t="str">
        <f ca="1">DFIE!$B$62</f>
        <v>Einheit</v>
      </c>
      <c r="Q25" s="516" t="str">
        <f ca="1">DFIE!$B$60</f>
        <v>Formel</v>
      </c>
      <c r="R25" s="538" t="s">
        <v>483</v>
      </c>
      <c r="S25" s="535" t="s">
        <v>484</v>
      </c>
      <c r="T25" s="535" t="s">
        <v>485</v>
      </c>
      <c r="U25" s="535" t="s">
        <v>486</v>
      </c>
      <c r="V25" s="535" t="s">
        <v>487</v>
      </c>
      <c r="W25" s="536" t="s">
        <v>488</v>
      </c>
      <c r="X25" s="390"/>
    </row>
    <row r="26" spans="2:34" ht="13.5" customHeight="1" x14ac:dyDescent="0.25">
      <c r="B26" s="474" t="str">
        <f ca="1">DFIE!$B$48</f>
        <v>St. Gallen</v>
      </c>
      <c r="C26" s="54">
        <v>0</v>
      </c>
      <c r="D26" s="54">
        <v>0</v>
      </c>
      <c r="E26" s="54">
        <v>0</v>
      </c>
      <c r="F26" s="54">
        <v>284215.46100000001</v>
      </c>
      <c r="G26" s="54">
        <v>447112.75</v>
      </c>
      <c r="H26" s="54">
        <v>437079.59700000001</v>
      </c>
      <c r="I26" s="159">
        <f t="shared" si="1"/>
        <v>389469.2693333333</v>
      </c>
      <c r="J26" s="477">
        <v>0.5</v>
      </c>
      <c r="K26" s="473">
        <f t="shared" si="2"/>
        <v>194734.63466666665</v>
      </c>
      <c r="M26" s="422" t="str">
        <f ca="1">DFIE!$B$286</f>
        <v>Ausschöpfung juristischer Personen (JP)</v>
      </c>
      <c r="N26" s="423"/>
      <c r="O26" s="423"/>
      <c r="P26" s="517"/>
      <c r="Q26" s="524"/>
      <c r="R26" s="444"/>
      <c r="S26" s="434"/>
      <c r="T26" s="434"/>
      <c r="U26" s="434"/>
      <c r="V26" s="434"/>
      <c r="W26" s="435"/>
      <c r="X26" s="448"/>
    </row>
    <row r="27" spans="2:34" ht="13.5" customHeight="1" x14ac:dyDescent="0.25">
      <c r="B27" s="458" t="str">
        <f ca="1">DFIE!$B$49</f>
        <v>Graubünden</v>
      </c>
      <c r="C27" s="53">
        <v>0</v>
      </c>
      <c r="D27" s="53">
        <v>0</v>
      </c>
      <c r="E27" s="53">
        <v>0</v>
      </c>
      <c r="F27" s="53">
        <v>78090</v>
      </c>
      <c r="G27" s="53">
        <v>0</v>
      </c>
      <c r="H27" s="53">
        <v>0</v>
      </c>
      <c r="I27" s="157">
        <f t="shared" si="1"/>
        <v>26030</v>
      </c>
      <c r="J27" s="478">
        <v>0.9</v>
      </c>
      <c r="K27" s="475">
        <f t="shared" si="2"/>
        <v>2602.9999999999995</v>
      </c>
      <c r="M27" s="425" t="s">
        <v>511</v>
      </c>
      <c r="N27" s="426" t="str">
        <f ca="1">DFIE!$B$287</f>
        <v>Forschungs- und Entwicklungsaufwand</v>
      </c>
      <c r="O27" s="426"/>
      <c r="P27" s="519" t="str">
        <f ca="1">DFIE!$B$64</f>
        <v>CHF 1'000</v>
      </c>
      <c r="Q27" s="520"/>
      <c r="R27" s="479">
        <v>0</v>
      </c>
      <c r="S27" s="480">
        <v>0</v>
      </c>
      <c r="T27" s="480">
        <v>0</v>
      </c>
      <c r="U27" s="480">
        <v>13819429.65</v>
      </c>
      <c r="V27" s="480">
        <v>141961.17499999999</v>
      </c>
      <c r="W27" s="480">
        <v>73218.945000000007</v>
      </c>
      <c r="X27" s="483">
        <f>SUM(R27:W27)/COUNTIF($R$6:$W$6,"&gt;0")</f>
        <v>4678203.2566666668</v>
      </c>
    </row>
    <row r="28" spans="2:34" ht="13.5" customHeight="1" x14ac:dyDescent="0.25">
      <c r="B28" s="474" t="str">
        <f ca="1">DFIE!$B$50</f>
        <v>Aargau</v>
      </c>
      <c r="C28" s="54">
        <v>0</v>
      </c>
      <c r="D28" s="54">
        <v>0</v>
      </c>
      <c r="E28" s="54">
        <v>0</v>
      </c>
      <c r="F28" s="54">
        <v>278669.46600000001</v>
      </c>
      <c r="G28" s="54">
        <v>97672.782999999996</v>
      </c>
      <c r="H28" s="54">
        <v>124738.101</v>
      </c>
      <c r="I28" s="159">
        <f t="shared" si="1"/>
        <v>167026.78333333333</v>
      </c>
      <c r="J28" s="477">
        <v>0.9</v>
      </c>
      <c r="K28" s="473">
        <f t="shared" si="2"/>
        <v>16702.67833333333</v>
      </c>
      <c r="M28" s="425" t="s">
        <v>653</v>
      </c>
      <c r="N28" s="426" t="str">
        <f ca="1">DFIE!$B$288</f>
        <v>Massgebendes Potenzial JP</v>
      </c>
      <c r="O28" s="426"/>
      <c r="P28" s="519" t="str">
        <f ca="1">DFIE!$B$64</f>
        <v>CHF 1'000</v>
      </c>
      <c r="Q28" s="520" t="s">
        <v>700</v>
      </c>
      <c r="R28" s="479">
        <v>0</v>
      </c>
      <c r="S28" s="480">
        <v>0</v>
      </c>
      <c r="T28" s="480">
        <v>0</v>
      </c>
      <c r="U28" s="495">
        <f>U6+U7*JP!$L$17+(1-JP!$L$17)*U27</f>
        <v>140797259.167344</v>
      </c>
      <c r="V28" s="495">
        <f>V6+V7*JP!$L$45+(1-JP!$L$45)*V27</f>
        <v>160726088.48785499</v>
      </c>
      <c r="W28" s="495">
        <f t="shared" ref="W28" si="5">W6+W7*$S$20+(1-$S$20)*W27</f>
        <v>178575215.21506003</v>
      </c>
      <c r="X28" s="496">
        <f>SUM(R28:W28)/COUNTIF($R$6:$W$6,"&gt;0")</f>
        <v>160032854.29008636</v>
      </c>
      <c r="AG28" s="392"/>
    </row>
    <row r="29" spans="2:34" ht="13.5" customHeight="1" x14ac:dyDescent="0.25">
      <c r="B29" s="458" t="str">
        <f ca="1">DFIE!$B$51</f>
        <v>Thurgau</v>
      </c>
      <c r="C29" s="53">
        <v>0</v>
      </c>
      <c r="D29" s="53">
        <v>0</v>
      </c>
      <c r="E29" s="53">
        <v>0</v>
      </c>
      <c r="F29" s="53">
        <v>47856.315000000002</v>
      </c>
      <c r="G29" s="53">
        <v>36855.595999999998</v>
      </c>
      <c r="H29" s="53">
        <v>62958.868999999999</v>
      </c>
      <c r="I29" s="157">
        <f t="shared" si="1"/>
        <v>49223.593333333331</v>
      </c>
      <c r="J29" s="478">
        <v>0.4</v>
      </c>
      <c r="K29" s="475">
        <f t="shared" si="2"/>
        <v>29534.155999999995</v>
      </c>
      <c r="M29" s="429" t="s">
        <v>660</v>
      </c>
      <c r="N29" s="430" t="str">
        <f ca="1">DFIE!$B$289</f>
        <v>Ausschöpfung JP</v>
      </c>
      <c r="O29" s="430"/>
      <c r="P29" s="521" t="str">
        <f ca="1">DFIE!$B$67</f>
        <v>Prozent</v>
      </c>
      <c r="Q29" s="522" t="s">
        <v>665</v>
      </c>
      <c r="R29" s="505">
        <f t="shared" ref="R29:X29" si="6">IFERROR(R12/R28,0)</f>
        <v>0</v>
      </c>
      <c r="S29" s="506">
        <f t="shared" si="6"/>
        <v>0</v>
      </c>
      <c r="T29" s="506">
        <f t="shared" si="6"/>
        <v>0</v>
      </c>
      <c r="U29" s="506">
        <f t="shared" si="6"/>
        <v>8.5066618274291073E-2</v>
      </c>
      <c r="V29" s="506">
        <f t="shared" si="6"/>
        <v>8.0059582376865751E-2</v>
      </c>
      <c r="W29" s="506">
        <f t="shared" si="6"/>
        <v>7.9369606977541696E-2</v>
      </c>
      <c r="X29" s="507">
        <f t="shared" si="6"/>
        <v>8.1271342774573513E-2</v>
      </c>
      <c r="AG29" s="392"/>
    </row>
    <row r="30" spans="2:34" ht="13.5" customHeight="1" x14ac:dyDescent="0.25">
      <c r="B30" s="474" t="str">
        <f ca="1">DFIE!$B$52</f>
        <v>Tessin</v>
      </c>
      <c r="C30" s="54">
        <v>0</v>
      </c>
      <c r="D30" s="54">
        <v>0</v>
      </c>
      <c r="E30" s="54">
        <v>0</v>
      </c>
      <c r="F30" s="54">
        <v>0</v>
      </c>
      <c r="G30" s="54">
        <v>44962.517999999996</v>
      </c>
      <c r="H30" s="54">
        <v>69011.531000000003</v>
      </c>
      <c r="I30" s="159">
        <f t="shared" si="1"/>
        <v>37991.349666666669</v>
      </c>
      <c r="J30" s="477">
        <v>0.9</v>
      </c>
      <c r="K30" s="473">
        <f t="shared" si="2"/>
        <v>3799.1349666666661</v>
      </c>
      <c r="M30" s="422" t="str">
        <f ca="1">DFIE!$B$290</f>
        <v>Fiskaleinnahmen natürliche Personen (NP)</v>
      </c>
      <c r="N30" s="352"/>
      <c r="O30" s="352"/>
      <c r="P30" s="523"/>
      <c r="Q30" s="524"/>
      <c r="R30" s="449"/>
      <c r="S30" s="434"/>
      <c r="T30" s="434"/>
      <c r="U30" s="434"/>
      <c r="V30" s="434"/>
      <c r="W30" s="435"/>
      <c r="X30" s="459"/>
      <c r="Z30" s="426"/>
      <c r="AA30" s="447"/>
      <c r="AB30" s="426"/>
      <c r="AC30" s="406"/>
      <c r="AD30" s="406"/>
      <c r="AE30" s="406"/>
      <c r="AF30" s="392"/>
      <c r="AH30" s="392"/>
    </row>
    <row r="31" spans="2:34" ht="13.5" customHeight="1" x14ac:dyDescent="0.25">
      <c r="B31" s="458" t="str">
        <f ca="1">DFIE!$B$53</f>
        <v>Waadt</v>
      </c>
      <c r="C31" s="53">
        <v>0</v>
      </c>
      <c r="D31" s="53">
        <v>0</v>
      </c>
      <c r="E31" s="53">
        <v>0</v>
      </c>
      <c r="F31" s="53">
        <v>186996.93100000001</v>
      </c>
      <c r="G31" s="53">
        <v>346250.46399999998</v>
      </c>
      <c r="H31" s="53">
        <v>465069.255</v>
      </c>
      <c r="I31" s="157">
        <f t="shared" si="1"/>
        <v>332772.21666666667</v>
      </c>
      <c r="J31" s="478">
        <v>0.6</v>
      </c>
      <c r="K31" s="475">
        <f t="shared" si="2"/>
        <v>133108.88666666669</v>
      </c>
      <c r="M31" s="425" t="s">
        <v>69</v>
      </c>
      <c r="N31" s="426" t="str">
        <f ca="1">DFIE!$B$291</f>
        <v>Einkommenssteuern Kantone und Gemeinden</v>
      </c>
      <c r="O31" s="426"/>
      <c r="P31" s="519" t="str">
        <f ca="1">DFIE!$B$64</f>
        <v>CHF 1'000</v>
      </c>
      <c r="Q31" s="520"/>
      <c r="R31" s="479">
        <v>0</v>
      </c>
      <c r="S31" s="480">
        <v>0</v>
      </c>
      <c r="T31" s="480">
        <v>0</v>
      </c>
      <c r="U31" s="480">
        <v>46927770.9837</v>
      </c>
      <c r="V31" s="480">
        <v>46691447.56205</v>
      </c>
      <c r="W31" s="480">
        <v>48204753.287450001</v>
      </c>
      <c r="X31" s="483">
        <f t="shared" ref="X31:X36" si="7">SUM(R31:W31)/COUNTIF($R$6:$W$6,"&gt;0")</f>
        <v>47274657.277733326</v>
      </c>
    </row>
    <row r="32" spans="2:34" ht="13.5" customHeight="1" x14ac:dyDescent="0.25">
      <c r="B32" s="474" t="str">
        <f ca="1">DFIE!$B$54</f>
        <v>Wallis</v>
      </c>
      <c r="C32" s="54">
        <v>0</v>
      </c>
      <c r="D32" s="54">
        <v>0</v>
      </c>
      <c r="E32" s="54">
        <v>0</v>
      </c>
      <c r="F32" s="54">
        <v>0</v>
      </c>
      <c r="G32" s="54">
        <v>0</v>
      </c>
      <c r="H32" s="54">
        <v>0</v>
      </c>
      <c r="I32" s="159">
        <f t="shared" si="1"/>
        <v>0</v>
      </c>
      <c r="J32" s="477">
        <v>0.9</v>
      </c>
      <c r="K32" s="473">
        <f t="shared" si="2"/>
        <v>0</v>
      </c>
      <c r="M32" s="425" t="s">
        <v>49</v>
      </c>
      <c r="N32" s="426" t="str">
        <f ca="1">DFIE!$B$292</f>
        <v>Einkommenssteuern DBSt</v>
      </c>
      <c r="O32" s="426"/>
      <c r="P32" s="519" t="str">
        <f ca="1">DFIE!$B$64</f>
        <v>CHF 1'000</v>
      </c>
      <c r="Q32" s="520"/>
      <c r="R32" s="479">
        <v>0</v>
      </c>
      <c r="S32" s="480">
        <v>0</v>
      </c>
      <c r="T32" s="480">
        <v>0</v>
      </c>
      <c r="U32" s="480">
        <v>12122509.938759999</v>
      </c>
      <c r="V32" s="480">
        <v>12761920.42269</v>
      </c>
      <c r="W32" s="480">
        <v>12798079.20817</v>
      </c>
      <c r="X32" s="483">
        <f t="shared" si="7"/>
        <v>12560836.523206666</v>
      </c>
    </row>
    <row r="33" spans="2:37" ht="13.5" customHeight="1" x14ac:dyDescent="0.25">
      <c r="B33" s="458" t="str">
        <f ca="1">DFIE!$B$55</f>
        <v>Neuenburg</v>
      </c>
      <c r="C33" s="53">
        <v>0</v>
      </c>
      <c r="D33" s="53">
        <v>0</v>
      </c>
      <c r="E33" s="53">
        <v>0</v>
      </c>
      <c r="F33" s="53">
        <v>0</v>
      </c>
      <c r="G33" s="53">
        <v>0</v>
      </c>
      <c r="H33" s="53">
        <v>0</v>
      </c>
      <c r="I33" s="157">
        <f t="shared" si="1"/>
        <v>0</v>
      </c>
      <c r="J33" s="478">
        <v>0.2</v>
      </c>
      <c r="K33" s="475">
        <f t="shared" si="2"/>
        <v>0</v>
      </c>
      <c r="M33" s="425" t="s">
        <v>48</v>
      </c>
      <c r="N33" s="426" t="str">
        <f ca="1">DFIE!$B$293</f>
        <v>Kantonsanteil an Einkommenssteuern DBSt</v>
      </c>
      <c r="O33" s="426"/>
      <c r="P33" s="519" t="str">
        <f ca="1">DFIE!$B$64</f>
        <v>CHF 1'000</v>
      </c>
      <c r="Q33" s="520" t="s">
        <v>666</v>
      </c>
      <c r="R33" s="497">
        <f t="shared" ref="R33:W33" si="8">R$10*R32</f>
        <v>0</v>
      </c>
      <c r="S33" s="481">
        <f t="shared" si="8"/>
        <v>0</v>
      </c>
      <c r="T33" s="481">
        <f t="shared" si="8"/>
        <v>0</v>
      </c>
      <c r="U33" s="481">
        <f t="shared" si="8"/>
        <v>2569972.1070171199</v>
      </c>
      <c r="V33" s="481">
        <f t="shared" si="8"/>
        <v>2705527.12961028</v>
      </c>
      <c r="W33" s="481">
        <f t="shared" si="8"/>
        <v>2713192.79213204</v>
      </c>
      <c r="X33" s="483">
        <f t="shared" si="7"/>
        <v>2662897.3429198135</v>
      </c>
    </row>
    <row r="34" spans="2:37" ht="13.5" customHeight="1" x14ac:dyDescent="0.25">
      <c r="B34" s="474" t="str">
        <f ca="1">DFIE!$B$56</f>
        <v>Genf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159">
        <f t="shared" si="1"/>
        <v>0</v>
      </c>
      <c r="J34" s="477">
        <v>0.1</v>
      </c>
      <c r="K34" s="473">
        <f t="shared" si="2"/>
        <v>0</v>
      </c>
      <c r="M34" s="425" t="s">
        <v>47</v>
      </c>
      <c r="N34" s="426" t="str">
        <f ca="1">DFIE!$B$294</f>
        <v>Vermögenssteuern Kantone und Gemeinden</v>
      </c>
      <c r="O34" s="426"/>
      <c r="P34" s="519" t="str">
        <f ca="1">DFIE!$B$64</f>
        <v>CHF 1'000</v>
      </c>
      <c r="Q34" s="520"/>
      <c r="R34" s="479">
        <v>0</v>
      </c>
      <c r="S34" s="480">
        <v>0</v>
      </c>
      <c r="T34" s="480">
        <v>0</v>
      </c>
      <c r="U34" s="480">
        <v>8328554.0057699997</v>
      </c>
      <c r="V34" s="480">
        <v>8703171.7002799995</v>
      </c>
      <c r="W34" s="480">
        <v>9014242.73697</v>
      </c>
      <c r="X34" s="483">
        <f t="shared" si="7"/>
        <v>8681989.481006667</v>
      </c>
    </row>
    <row r="35" spans="2:37" ht="13.5" customHeight="1" x14ac:dyDescent="0.25">
      <c r="B35" s="458" t="str">
        <f ca="1">DFIE!$B$57</f>
        <v>Jura</v>
      </c>
      <c r="C35" s="53">
        <v>0</v>
      </c>
      <c r="D35" s="53">
        <v>0</v>
      </c>
      <c r="E35" s="53">
        <v>0</v>
      </c>
      <c r="F35" s="53">
        <v>0</v>
      </c>
      <c r="G35" s="53">
        <v>0</v>
      </c>
      <c r="H35" s="53">
        <v>15213</v>
      </c>
      <c r="I35" s="157">
        <f t="shared" si="1"/>
        <v>5071</v>
      </c>
      <c r="J35" s="478">
        <v>0.9</v>
      </c>
      <c r="K35" s="475">
        <f t="shared" si="2"/>
        <v>507.09999999999991</v>
      </c>
      <c r="M35" s="425" t="s">
        <v>58</v>
      </c>
      <c r="N35" s="426" t="str">
        <f ca="1">DFIE!$B$295</f>
        <v>Quellensteuern Kantone und Gemeinden</v>
      </c>
      <c r="O35" s="426"/>
      <c r="P35" s="519" t="str">
        <f ca="1">DFIE!$B$64</f>
        <v>CHF 1'000</v>
      </c>
      <c r="Q35" s="520"/>
      <c r="R35" s="479">
        <v>0</v>
      </c>
      <c r="S35" s="480">
        <v>0</v>
      </c>
      <c r="T35" s="480">
        <v>0</v>
      </c>
      <c r="U35" s="480">
        <v>3627185.3713699998</v>
      </c>
      <c r="V35" s="480">
        <v>4195752.7671100004</v>
      </c>
      <c r="W35" s="480">
        <v>5269078.6007500002</v>
      </c>
      <c r="X35" s="483">
        <f t="shared" si="7"/>
        <v>4364005.5797433332</v>
      </c>
    </row>
    <row r="36" spans="2:37" ht="13.5" customHeight="1" x14ac:dyDescent="0.25">
      <c r="B36" s="394" t="str">
        <f ca="1">DFIE!$B$58</f>
        <v>Schweiz</v>
      </c>
      <c r="C36" s="26">
        <f t="shared" ref="C36:I36" si="9">SUM(C10:C35)</f>
        <v>0</v>
      </c>
      <c r="D36" s="55">
        <f t="shared" si="9"/>
        <v>0</v>
      </c>
      <c r="E36" s="55">
        <f t="shared" si="9"/>
        <v>0</v>
      </c>
      <c r="F36" s="55">
        <f t="shared" si="9"/>
        <v>5443664.0340000009</v>
      </c>
      <c r="G36" s="55">
        <f t="shared" si="9"/>
        <v>4840814.1339999996</v>
      </c>
      <c r="H36" s="55">
        <f t="shared" si="9"/>
        <v>6394047.4850000003</v>
      </c>
      <c r="I36" s="472">
        <f t="shared" si="9"/>
        <v>5559508.551</v>
      </c>
      <c r="J36" s="395"/>
      <c r="K36" s="476">
        <f>SUM(K10:K35)</f>
        <v>942358.36283333332</v>
      </c>
      <c r="M36" s="429" t="s">
        <v>70</v>
      </c>
      <c r="N36" s="430" t="str">
        <f ca="1">DFIE!$B$296</f>
        <v>Fiskaleinnahmen NP total Kantone und Gemeinden</v>
      </c>
      <c r="O36" s="430"/>
      <c r="P36" s="521" t="str">
        <f ca="1">DFIE!$B$64</f>
        <v>CHF 1'000</v>
      </c>
      <c r="Q36" s="522" t="s">
        <v>667</v>
      </c>
      <c r="R36" s="498">
        <f>R31+R33+R34+R35</f>
        <v>0</v>
      </c>
      <c r="S36" s="499">
        <f t="shared" ref="S36:W36" si="10">S31+S33+S34+S35</f>
        <v>0</v>
      </c>
      <c r="T36" s="499">
        <f t="shared" si="10"/>
        <v>0</v>
      </c>
      <c r="U36" s="499">
        <f t="shared" si="10"/>
        <v>61453482.467857122</v>
      </c>
      <c r="V36" s="499">
        <f t="shared" si="10"/>
        <v>62295899.159050278</v>
      </c>
      <c r="W36" s="499">
        <f t="shared" si="10"/>
        <v>65201267.417302042</v>
      </c>
      <c r="X36" s="486">
        <f t="shared" si="7"/>
        <v>62983549.681403153</v>
      </c>
    </row>
    <row r="37" spans="2:37" ht="13.5" customHeight="1" x14ac:dyDescent="0.25">
      <c r="B37" s="396"/>
      <c r="C37" s="396"/>
      <c r="D37" s="396"/>
      <c r="E37" s="396"/>
      <c r="F37" s="396"/>
      <c r="G37" s="396"/>
      <c r="H37" s="396"/>
      <c r="I37" s="396"/>
      <c r="J37" s="396"/>
      <c r="K37" s="396"/>
      <c r="M37" s="422" t="str">
        <f ca="1">DFIE!$B$297</f>
        <v>Ausschöpfung natürlicher Personen</v>
      </c>
      <c r="N37" s="352"/>
      <c r="O37" s="352"/>
      <c r="P37" s="523"/>
      <c r="Q37" s="524"/>
      <c r="R37" s="449"/>
      <c r="S37" s="434"/>
      <c r="T37" s="434"/>
      <c r="U37" s="434"/>
      <c r="V37" s="434"/>
      <c r="W37" s="434"/>
      <c r="X37" s="459"/>
      <c r="Y37" s="391"/>
      <c r="Z37" s="391"/>
      <c r="AA37" s="391"/>
      <c r="AB37" s="391"/>
      <c r="AC37" s="391"/>
      <c r="AD37" s="391"/>
      <c r="AE37" s="391"/>
      <c r="AF37" s="391"/>
      <c r="AG37" s="391"/>
      <c r="AH37" s="391"/>
      <c r="AI37" s="391"/>
      <c r="AJ37" s="391"/>
      <c r="AK37" s="391"/>
    </row>
    <row r="38" spans="2:37" ht="13.5" customHeight="1" x14ac:dyDescent="0.25">
      <c r="B38" s="450" t="str">
        <f ca="1">DFIE!$B$268</f>
        <v>Zeta-2*</v>
      </c>
      <c r="C38" s="466" t="s">
        <v>752</v>
      </c>
      <c r="D38" s="467" t="str">
        <f ca="1">DFIE!$B$269</f>
        <v>K(Total) / I(Total)</v>
      </c>
      <c r="E38" s="457"/>
      <c r="F38" s="457"/>
      <c r="G38" s="457"/>
      <c r="H38" s="457"/>
      <c r="I38" s="457"/>
      <c r="J38" s="457"/>
      <c r="K38" s="510">
        <f>IFERROR(K36/I36,0)</f>
        <v>0.16950389664637344</v>
      </c>
      <c r="M38" s="425" t="s">
        <v>71</v>
      </c>
      <c r="N38" s="426" t="str">
        <f ca="1">DFIE!$B$298</f>
        <v>Massgebende Einkommen</v>
      </c>
      <c r="O38" s="426"/>
      <c r="P38" s="519" t="str">
        <f ca="1">DFIE!$B$64</f>
        <v>CHF 1'000</v>
      </c>
      <c r="Q38" s="520"/>
      <c r="R38" s="479">
        <v>0</v>
      </c>
      <c r="S38" s="480">
        <v>0</v>
      </c>
      <c r="T38" s="480">
        <v>0</v>
      </c>
      <c r="U38" s="495">
        <f>SIGN($U$6)*NP!$E$35</f>
        <v>198185289.58200002</v>
      </c>
      <c r="V38" s="495">
        <f>SIGN($V$6)*NP!$E$63</f>
        <v>208471297.24800006</v>
      </c>
      <c r="W38" s="495">
        <f>SIGN($W$6)*NP!$E$91</f>
        <v>216880549.46000004</v>
      </c>
      <c r="X38" s="483">
        <f t="shared" ref="X38:X41" si="11">SUM(R38:W38)/COUNTIF($R$6:$W$6,"&gt;0")</f>
        <v>207845712.09666669</v>
      </c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</row>
    <row r="39" spans="2:37" ht="13.5" customHeight="1" x14ac:dyDescent="0.25">
      <c r="M39" s="425" t="s">
        <v>72</v>
      </c>
      <c r="N39" s="426" t="str">
        <f ca="1">DFIE!$B$299</f>
        <v>Massgebende quellenbesteuerte Einkommen</v>
      </c>
      <c r="O39" s="426"/>
      <c r="P39" s="519" t="str">
        <f ca="1">DFIE!$B$64</f>
        <v>CHF 1'000</v>
      </c>
      <c r="Q39" s="520"/>
      <c r="R39" s="479">
        <v>0</v>
      </c>
      <c r="S39" s="480">
        <v>0</v>
      </c>
      <c r="T39" s="480">
        <v>0</v>
      </c>
      <c r="U39" s="495">
        <f>SIGN($U$6)*QS!$X$35</f>
        <v>14028669.426476443</v>
      </c>
      <c r="V39" s="495">
        <f>SIGN($V$6)*QS!$X$63</f>
        <v>13403753.36969772</v>
      </c>
      <c r="W39" s="495">
        <f>SIGN($W$6)*QS!$X$91</f>
        <v>14645539.40218238</v>
      </c>
      <c r="X39" s="483">
        <f t="shared" si="11"/>
        <v>14025987.39945218</v>
      </c>
      <c r="AA39" s="397"/>
    </row>
    <row r="40" spans="2:37" ht="13.5" customHeight="1" x14ac:dyDescent="0.25">
      <c r="M40" s="425" t="s">
        <v>59</v>
      </c>
      <c r="N40" s="426" t="str">
        <f ca="1">DFIE!$B$300</f>
        <v>Massgebende Vermögen</v>
      </c>
      <c r="O40" s="426"/>
      <c r="P40" s="519" t="str">
        <f ca="1">DFIE!$B$64</f>
        <v>CHF 1'000</v>
      </c>
      <c r="Q40" s="520"/>
      <c r="R40" s="479">
        <v>0</v>
      </c>
      <c r="S40" s="480">
        <v>0</v>
      </c>
      <c r="T40" s="480">
        <v>0</v>
      </c>
      <c r="U40" s="495">
        <f>SIGN($U$6)*VERM!$D$35</f>
        <v>33902126.087400004</v>
      </c>
      <c r="V40" s="495">
        <f>SIGN($V$6)*VERM!$G$35</f>
        <v>36607477.964024998</v>
      </c>
      <c r="W40" s="495">
        <f>SIGN($W$6)*VERM!$J$35</f>
        <v>36077072.050350003</v>
      </c>
      <c r="X40" s="483">
        <f t="shared" si="11"/>
        <v>35528892.033925004</v>
      </c>
      <c r="AA40" s="397"/>
    </row>
    <row r="41" spans="2:37" ht="13.5" customHeight="1" x14ac:dyDescent="0.25">
      <c r="M41" s="425" t="s">
        <v>97</v>
      </c>
      <c r="N41" s="426" t="str">
        <f ca="1">DFIE!$B$301</f>
        <v>Massgebendes Potenzial NP</v>
      </c>
      <c r="O41" s="426"/>
      <c r="P41" s="519" t="str">
        <f ca="1">DFIE!$B$64</f>
        <v>CHF 1'000</v>
      </c>
      <c r="Q41" s="520" t="s">
        <v>668</v>
      </c>
      <c r="R41" s="500">
        <f>R38+R39+R40</f>
        <v>0</v>
      </c>
      <c r="S41" s="495">
        <f t="shared" ref="S41:W41" si="12">S38+S39+S40</f>
        <v>0</v>
      </c>
      <c r="T41" s="495">
        <f t="shared" si="12"/>
        <v>0</v>
      </c>
      <c r="U41" s="495">
        <f t="shared" si="12"/>
        <v>246116085.09587646</v>
      </c>
      <c r="V41" s="495">
        <f t="shared" si="12"/>
        <v>258482528.58172277</v>
      </c>
      <c r="W41" s="495">
        <f t="shared" si="12"/>
        <v>267603160.91253242</v>
      </c>
      <c r="X41" s="483">
        <f t="shared" si="11"/>
        <v>257400591.53004387</v>
      </c>
    </row>
    <row r="42" spans="2:37" ht="13.5" customHeight="1" x14ac:dyDescent="0.25">
      <c r="M42" s="429" t="s">
        <v>228</v>
      </c>
      <c r="N42" s="430" t="str">
        <f ca="1">DFIE!$B$302</f>
        <v>Ausschöpfung NP</v>
      </c>
      <c r="O42" s="430"/>
      <c r="P42" s="521" t="str">
        <f ca="1">DFIE!$B$67</f>
        <v>Prozent</v>
      </c>
      <c r="Q42" s="522" t="s">
        <v>697</v>
      </c>
      <c r="R42" s="505">
        <f t="shared" ref="R42:X42" si="13">IFERROR(R36/R41,0)</f>
        <v>0</v>
      </c>
      <c r="S42" s="506">
        <f t="shared" si="13"/>
        <v>0</v>
      </c>
      <c r="T42" s="506">
        <f t="shared" si="13"/>
        <v>0</v>
      </c>
      <c r="U42" s="506">
        <f t="shared" si="13"/>
        <v>0.24969307651678854</v>
      </c>
      <c r="V42" s="506">
        <f t="shared" si="13"/>
        <v>0.24100622777432551</v>
      </c>
      <c r="W42" s="506">
        <f t="shared" si="13"/>
        <v>0.24364909291416567</v>
      </c>
      <c r="X42" s="507">
        <f t="shared" si="13"/>
        <v>0.24469077288057317</v>
      </c>
      <c r="AD42" s="461"/>
      <c r="AE42" s="460"/>
      <c r="AF42" s="460"/>
      <c r="AG42" s="460"/>
      <c r="AH42" s="460"/>
      <c r="AI42" s="460"/>
      <c r="AJ42" s="460"/>
    </row>
    <row r="43" spans="2:37" ht="13.5" customHeight="1" x14ac:dyDescent="0.25">
      <c r="M43" s="422" t="str">
        <f ca="1">DFIE!$B$279</f>
        <v>Berechnung</v>
      </c>
      <c r="N43" s="352"/>
      <c r="O43" s="352"/>
      <c r="P43" s="438"/>
      <c r="Q43" s="526"/>
      <c r="R43" s="434"/>
      <c r="S43" s="435"/>
      <c r="T43" s="406"/>
      <c r="U43" s="406"/>
      <c r="V43" s="406"/>
      <c r="W43" s="406"/>
      <c r="X43" s="406"/>
      <c r="AD43" s="461"/>
      <c r="AE43" s="460"/>
      <c r="AF43" s="460"/>
      <c r="AG43" s="460"/>
      <c r="AH43" s="460"/>
      <c r="AI43" s="460"/>
      <c r="AJ43" s="460"/>
    </row>
    <row r="44" spans="2:37" ht="13.5" customHeight="1" x14ac:dyDescent="0.25">
      <c r="M44" s="429" t="s">
        <v>661</v>
      </c>
      <c r="N44" s="430" t="str">
        <f ca="1">DFIE!$B$303</f>
        <v>Zeta-1 (ohne Berücksichtigung der Bandbreiten)</v>
      </c>
      <c r="O44" s="430"/>
      <c r="P44" s="409"/>
      <c r="Q44" s="522" t="s">
        <v>669</v>
      </c>
      <c r="R44" s="430"/>
      <c r="S44" s="511">
        <f>X29/X42</f>
        <v>0.33213897613638182</v>
      </c>
      <c r="T44" s="406"/>
      <c r="U44" s="406"/>
      <c r="V44" s="406"/>
      <c r="W44" s="406"/>
      <c r="X44" s="406"/>
      <c r="AD44" s="461"/>
      <c r="AE44" s="460"/>
      <c r="AF44" s="460"/>
      <c r="AG44" s="460"/>
      <c r="AH44" s="460"/>
      <c r="AI44" s="460"/>
      <c r="AJ44" s="460"/>
    </row>
    <row r="45" spans="2:37" ht="13.5" customHeight="1" x14ac:dyDescent="0.25">
      <c r="M45" s="422" t="str">
        <f ca="1">DFIE!$B$304</f>
        <v>Bandbreite von Zeta-1</v>
      </c>
      <c r="N45" s="423"/>
      <c r="O45" s="423"/>
      <c r="P45" s="411"/>
      <c r="Q45" s="530"/>
      <c r="R45" s="411"/>
      <c r="S45" s="420"/>
      <c r="T45" s="406"/>
      <c r="U45" s="406"/>
      <c r="V45" s="406"/>
      <c r="W45" s="406"/>
      <c r="X45" s="406"/>
      <c r="AD45" s="461"/>
      <c r="AE45" s="460"/>
      <c r="AF45" s="460"/>
      <c r="AG45" s="460"/>
      <c r="AH45" s="460"/>
      <c r="AI45" s="460"/>
      <c r="AJ45" s="460"/>
    </row>
    <row r="46" spans="2:37" ht="13.5" customHeight="1" x14ac:dyDescent="0.25">
      <c r="M46" s="425" t="s">
        <v>662</v>
      </c>
      <c r="N46" s="426" t="str">
        <f ca="1">DFIE!$B$305</f>
        <v>Obere Grenze der Bandbreite (Art. 57d Abs. 2 Bst. a FiLaV)</v>
      </c>
      <c r="O46" s="426"/>
      <c r="P46" s="406"/>
      <c r="Q46" s="531"/>
      <c r="R46" s="406"/>
      <c r="S46" s="508">
        <v>0.373</v>
      </c>
      <c r="AD46" s="461"/>
      <c r="AE46" s="460"/>
      <c r="AF46" s="460"/>
      <c r="AG46" s="460"/>
      <c r="AH46" s="460"/>
      <c r="AI46" s="460"/>
      <c r="AJ46" s="460"/>
    </row>
    <row r="47" spans="2:37" ht="13.5" customHeight="1" x14ac:dyDescent="0.25">
      <c r="M47" s="429" t="s">
        <v>663</v>
      </c>
      <c r="N47" s="430" t="str">
        <f ca="1">DFIE!$B$306</f>
        <v>Untere Grenze der Bandbreite (Art. 57d Abs. 2 Bst. a FiLaV)</v>
      </c>
      <c r="O47" s="430"/>
      <c r="P47" s="409"/>
      <c r="Q47" s="532"/>
      <c r="R47" s="409"/>
      <c r="S47" s="509">
        <v>0.27300000000000002</v>
      </c>
      <c r="T47" s="406"/>
      <c r="U47" s="406"/>
      <c r="V47" s="406"/>
      <c r="W47" s="406"/>
      <c r="X47" s="406"/>
      <c r="AD47" s="461"/>
      <c r="AE47" s="460"/>
      <c r="AF47" s="460"/>
      <c r="AG47" s="460"/>
      <c r="AH47" s="460"/>
      <c r="AI47" s="460"/>
      <c r="AJ47" s="460"/>
    </row>
    <row r="48" spans="2:37" ht="13.5" customHeight="1" x14ac:dyDescent="0.25">
      <c r="M48" s="451" t="s">
        <v>664</v>
      </c>
      <c r="N48" s="452" t="s">
        <v>694</v>
      </c>
      <c r="O48" s="453" t="str">
        <f ca="1">DFIE!$B$307</f>
        <v>Zeta-1</v>
      </c>
      <c r="P48" s="455"/>
      <c r="Q48" s="529" t="s">
        <v>670</v>
      </c>
      <c r="R48" s="454"/>
      <c r="S48" s="515">
        <f>IFERROR(ROUND(MAX(S47,MIN(S46,S44)),3),0)</f>
        <v>0.33200000000000002</v>
      </c>
      <c r="T48" s="392"/>
      <c r="U48" s="392"/>
      <c r="AD48" s="461"/>
      <c r="AE48" s="460"/>
      <c r="AF48" s="460"/>
      <c r="AG48" s="460"/>
      <c r="AH48" s="460"/>
      <c r="AI48" s="460"/>
      <c r="AJ48" s="460"/>
    </row>
    <row r="49" spans="30:36" x14ac:dyDescent="0.25">
      <c r="AD49" s="461"/>
      <c r="AE49" s="460"/>
      <c r="AF49" s="460"/>
      <c r="AG49" s="460"/>
      <c r="AH49" s="460"/>
      <c r="AI49" s="460"/>
      <c r="AJ49" s="460"/>
    </row>
  </sheetData>
  <mergeCells count="5">
    <mergeCell ref="C5:I6"/>
    <mergeCell ref="R14:S14"/>
    <mergeCell ref="J5:J7"/>
    <mergeCell ref="K5:K8"/>
    <mergeCell ref="R15:S15"/>
  </mergeCells>
  <conditionalFormatting sqref="C10:H35">
    <cfRule type="expression" dxfId="9" priority="7" stopIfTrue="1">
      <formula>ISBLANK(C10)</formula>
    </cfRule>
  </conditionalFormatting>
  <conditionalFormatting sqref="J10:J35">
    <cfRule type="expression" dxfId="8" priority="8" stopIfTrue="1">
      <formula>ISBLANK(J10)</formula>
    </cfRule>
  </conditionalFormatting>
  <conditionalFormatting sqref="R27:T28">
    <cfRule type="expression" dxfId="7" priority="2" stopIfTrue="1">
      <formula>ISBLANK(R27)</formula>
    </cfRule>
  </conditionalFormatting>
  <conditionalFormatting sqref="R38:T40 S46:S47">
    <cfRule type="expression" dxfId="6" priority="11" stopIfTrue="1">
      <formula>ISBLANK(R38)</formula>
    </cfRule>
  </conditionalFormatting>
  <conditionalFormatting sqref="R6:W6">
    <cfRule type="expression" dxfId="5" priority="3" stopIfTrue="1">
      <formula>ISBLANK(R6)</formula>
    </cfRule>
  </conditionalFormatting>
  <conditionalFormatting sqref="R8:W10 S18:S19">
    <cfRule type="expression" dxfId="4" priority="9" stopIfTrue="1">
      <formula>ISBLANK(R8)</formula>
    </cfRule>
  </conditionalFormatting>
  <conditionalFormatting sqref="R31:W32 R34:W35">
    <cfRule type="expression" dxfId="3" priority="10" stopIfTrue="1">
      <formula>ISBLANK(R31)</formula>
    </cfRule>
  </conditionalFormatting>
  <conditionalFormatting sqref="S18">
    <cfRule type="expression" dxfId="2" priority="14" stopIfTrue="1">
      <formula>$S$18=1</formula>
    </cfRule>
  </conditionalFormatting>
  <conditionalFormatting sqref="S46">
    <cfRule type="expression" dxfId="1" priority="61" stopIfTrue="1">
      <formula>$S$46=1</formula>
    </cfRule>
  </conditionalFormatting>
  <conditionalFormatting sqref="U27:W27">
    <cfRule type="expression" dxfId="0" priority="1" stopIfTrue="1">
      <formula>ISBLANK(U27)</formula>
    </cfRule>
  </conditionalFormatting>
  <pageMargins left="0.78740157480314965" right="0.51181102362204722" top="0.70866141732283472" bottom="0.51181102362204722" header="0.31496062992125984" footer="0.31496062992125984"/>
  <pageSetup paperSize="9" scale="76" fitToWidth="2" orientation="landscape"/>
  <headerFooter scaleWithDoc="0" alignWithMargins="0">
    <oddHeader>&amp;L&amp;F&amp;R&amp;A</oddHeader>
    <oddFooter>&amp;C&amp;P / &amp;N</oddFooter>
  </headerFooter>
  <colBreaks count="1" manualBreakCount="1">
    <brk id="12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5"/>
  <dimension ref="A1:J307"/>
  <sheetViews>
    <sheetView workbookViewId="0">
      <pane ySplit="9" topLeftCell="A10" activePane="bottomLeft" state="frozen"/>
      <selection activeCell="D35" sqref="D35:F35"/>
      <selection pane="bottomLeft"/>
    </sheetView>
  </sheetViews>
  <sheetFormatPr baseColWidth="10" defaultRowHeight="13.2" x14ac:dyDescent="0.25"/>
  <cols>
    <col min="1" max="1" width="2.6640625" customWidth="1"/>
    <col min="2" max="2" width="57.5546875" customWidth="1"/>
    <col min="3" max="3" width="6.6640625" customWidth="1"/>
    <col min="4" max="7" width="18.6640625" customWidth="1"/>
    <col min="8" max="8" width="5.6640625" customWidth="1"/>
  </cols>
  <sheetData>
    <row r="1" spans="1:10" ht="12.75" customHeight="1" x14ac:dyDescent="0.25"/>
    <row r="2" spans="1:10" ht="12.75" customHeight="1" x14ac:dyDescent="0.25">
      <c r="B2" s="550" t="s">
        <v>105</v>
      </c>
      <c r="D2" s="543" t="s">
        <v>106</v>
      </c>
      <c r="G2" s="547" t="s">
        <v>51</v>
      </c>
      <c r="I2" s="559" t="s">
        <v>970</v>
      </c>
      <c r="J2" s="561" t="s">
        <v>972</v>
      </c>
    </row>
    <row r="3" spans="1:10" ht="12.75" customHeight="1" x14ac:dyDescent="0.25">
      <c r="B3" s="550" t="s">
        <v>107</v>
      </c>
      <c r="C3" s="2">
        <v>1</v>
      </c>
      <c r="D3" s="544" t="s">
        <v>108</v>
      </c>
      <c r="E3" s="562"/>
      <c r="G3" s="565">
        <f>INTRO!$D$41</f>
        <v>2026</v>
      </c>
      <c r="I3" s="559" t="s">
        <v>971</v>
      </c>
      <c r="J3" s="560">
        <v>45687</v>
      </c>
    </row>
    <row r="4" spans="1:10" ht="12.75" customHeight="1" x14ac:dyDescent="0.25">
      <c r="B4" s="550"/>
      <c r="C4" s="2">
        <v>2</v>
      </c>
      <c r="D4" s="545" t="s">
        <v>109</v>
      </c>
      <c r="E4" s="562"/>
    </row>
    <row r="5" spans="1:10" ht="12" customHeight="1" x14ac:dyDescent="0.25">
      <c r="A5" s="1"/>
      <c r="B5" s="551" t="s">
        <v>110</v>
      </c>
      <c r="C5" s="2">
        <v>3</v>
      </c>
      <c r="D5" s="545" t="s">
        <v>111</v>
      </c>
      <c r="E5" s="562"/>
      <c r="F5" s="1"/>
      <c r="H5" s="1"/>
    </row>
    <row r="6" spans="1:10" ht="12" customHeight="1" x14ac:dyDescent="0.25">
      <c r="B6" s="551" t="s">
        <v>112</v>
      </c>
      <c r="C6" s="2">
        <v>4</v>
      </c>
      <c r="D6" s="546" t="s">
        <v>113</v>
      </c>
      <c r="E6" s="562"/>
    </row>
    <row r="7" spans="1:10" ht="12.75" customHeight="1" x14ac:dyDescent="0.25">
      <c r="B7" s="550"/>
      <c r="D7" s="549">
        <v>1</v>
      </c>
      <c r="E7" s="562"/>
    </row>
    <row r="8" spans="1:10" x14ac:dyDescent="0.25">
      <c r="B8" s="552"/>
      <c r="D8" s="564"/>
      <c r="E8" s="564"/>
    </row>
    <row r="9" spans="1:10" x14ac:dyDescent="0.25">
      <c r="A9" s="563"/>
      <c r="B9" s="548" t="str">
        <f ca="1">INDIRECT(ADDRESS(ROW(),$D$7+3))</f>
        <v>Deutsch</v>
      </c>
      <c r="C9" s="542" t="s">
        <v>114</v>
      </c>
      <c r="D9" s="547" t="s">
        <v>108</v>
      </c>
      <c r="E9" s="547" t="s">
        <v>109</v>
      </c>
      <c r="F9" s="547" t="s">
        <v>111</v>
      </c>
      <c r="G9" s="547" t="s">
        <v>113</v>
      </c>
      <c r="H9" s="1" t="s">
        <v>114</v>
      </c>
    </row>
    <row r="10" spans="1:10" x14ac:dyDescent="0.25">
      <c r="B10" s="553" t="str">
        <f t="shared" ref="B10:B74" ca="1" si="0">INDIRECT(ADDRESS(ROW(),$D$7+3))</f>
        <v>Eidgenössisches Finanzdepartement EFD</v>
      </c>
      <c r="C10" s="542" t="s">
        <v>114</v>
      </c>
      <c r="D10" s="1" t="s">
        <v>115</v>
      </c>
      <c r="E10" s="1" t="s">
        <v>116</v>
      </c>
      <c r="F10" s="1" t="s">
        <v>264</v>
      </c>
      <c r="G10" s="1" t="s">
        <v>227</v>
      </c>
      <c r="H10" s="1" t="s">
        <v>114</v>
      </c>
    </row>
    <row r="11" spans="1:10" x14ac:dyDescent="0.25">
      <c r="B11" s="554" t="str">
        <f t="shared" ca="1" si="0"/>
        <v>Eidgenössische Finanzverwaltung EFV</v>
      </c>
      <c r="C11" s="542" t="s">
        <v>114</v>
      </c>
      <c r="D11" s="1" t="s">
        <v>117</v>
      </c>
      <c r="E11" s="1" t="s">
        <v>118</v>
      </c>
      <c r="F11" s="1" t="s">
        <v>265</v>
      </c>
      <c r="G11" s="1" t="s">
        <v>229</v>
      </c>
      <c r="H11" s="1" t="s">
        <v>114</v>
      </c>
    </row>
    <row r="12" spans="1:10" x14ac:dyDescent="0.25">
      <c r="B12" s="554" t="str">
        <f t="shared" ca="1" si="0"/>
        <v>Finanzausgleich zwischen Bund und Kantonen</v>
      </c>
      <c r="C12" s="542" t="s">
        <v>114</v>
      </c>
      <c r="D12" s="1" t="s">
        <v>119</v>
      </c>
      <c r="E12" s="1" t="s">
        <v>120</v>
      </c>
      <c r="F12" s="1" t="s">
        <v>266</v>
      </c>
      <c r="G12" s="1" t="s">
        <v>230</v>
      </c>
      <c r="H12" s="1" t="s">
        <v>114</v>
      </c>
    </row>
    <row r="13" spans="1:10" x14ac:dyDescent="0.25">
      <c r="B13" s="555" t="str">
        <f t="shared" ca="1" si="0"/>
        <v>Ressourcenausgleich 2026</v>
      </c>
      <c r="C13" s="542" t="s">
        <v>114</v>
      </c>
      <c r="D13" s="1" t="str">
        <f>"Ressourcenausgleich " &amp; $G$3</f>
        <v>Ressourcenausgleich 2026</v>
      </c>
      <c r="E13" s="1" t="str">
        <f>"Péréquation des ressources " &amp; $G$3</f>
        <v>Péréquation des ressources 2026</v>
      </c>
      <c r="F13" s="1" t="str">
        <f>"Perequazione delle risorse " &amp; $G$3</f>
        <v>Perequazione delle risorse 2026</v>
      </c>
      <c r="G13" s="1" t="str">
        <f>"Resource equalization " &amp; $G$3</f>
        <v>Resource equalization 2026</v>
      </c>
      <c r="H13" s="1" t="s">
        <v>114</v>
      </c>
    </row>
    <row r="14" spans="1:10" x14ac:dyDescent="0.25">
      <c r="B14" s="554" t="str">
        <f t="shared" ca="1" si="0"/>
        <v>Übersicht über die Zahlungen im Ressourcenausgleich</v>
      </c>
      <c r="C14" s="542" t="s">
        <v>114</v>
      </c>
      <c r="D14" s="1" t="s">
        <v>179</v>
      </c>
      <c r="E14" s="1" t="s">
        <v>256</v>
      </c>
      <c r="F14" s="1" t="s">
        <v>267</v>
      </c>
      <c r="G14" s="1" t="s">
        <v>231</v>
      </c>
      <c r="H14" s="1" t="s">
        <v>114</v>
      </c>
    </row>
    <row r="15" spans="1:10" x14ac:dyDescent="0.25">
      <c r="B15" s="554" t="str">
        <f t="shared" ca="1" si="0"/>
        <v>Einkommen natürlicher Personen</v>
      </c>
      <c r="C15" s="542" t="s">
        <v>114</v>
      </c>
      <c r="D15" s="1" t="s">
        <v>162</v>
      </c>
      <c r="E15" s="1" t="s">
        <v>172</v>
      </c>
      <c r="F15" s="1" t="s">
        <v>268</v>
      </c>
      <c r="G15" s="1" t="s">
        <v>907</v>
      </c>
      <c r="H15" s="1" t="s">
        <v>114</v>
      </c>
    </row>
    <row r="16" spans="1:10" x14ac:dyDescent="0.25">
      <c r="B16" s="554" t="str">
        <f t="shared" ca="1" si="0"/>
        <v>Quellenbesteuerte Einkommen natürlicher Personen</v>
      </c>
      <c r="C16" s="542" t="s">
        <v>114</v>
      </c>
      <c r="D16" s="1" t="s">
        <v>163</v>
      </c>
      <c r="E16" s="1" t="s">
        <v>257</v>
      </c>
      <c r="F16" s="1" t="s">
        <v>269</v>
      </c>
      <c r="G16" s="1" t="s">
        <v>908</v>
      </c>
      <c r="H16" s="1" t="s">
        <v>114</v>
      </c>
    </row>
    <row r="17" spans="2:8" x14ac:dyDescent="0.25">
      <c r="B17" s="554" t="str">
        <f t="shared" ca="1" si="0"/>
        <v>Vermögen natürlicher Personen</v>
      </c>
      <c r="C17" s="542" t="s">
        <v>114</v>
      </c>
      <c r="D17" s="1" t="s">
        <v>164</v>
      </c>
      <c r="E17" s="1" t="s">
        <v>173</v>
      </c>
      <c r="F17" s="1" t="s">
        <v>270</v>
      </c>
      <c r="G17" s="1" t="s">
        <v>185</v>
      </c>
      <c r="H17" s="1" t="s">
        <v>114</v>
      </c>
    </row>
    <row r="18" spans="2:8" x14ac:dyDescent="0.25">
      <c r="B18" s="554" t="str">
        <f t="shared" ca="1" si="0"/>
        <v>Gewinne juristischer Personen (betagewichtet)</v>
      </c>
      <c r="C18" s="542" t="s">
        <v>114</v>
      </c>
      <c r="D18" s="1" t="s">
        <v>628</v>
      </c>
      <c r="E18" s="1" t="s">
        <v>868</v>
      </c>
      <c r="F18" s="1" t="s">
        <v>807</v>
      </c>
      <c r="G18" s="1" t="s">
        <v>789</v>
      </c>
      <c r="H18" s="1" t="s">
        <v>114</v>
      </c>
    </row>
    <row r="19" spans="2:8" x14ac:dyDescent="0.25">
      <c r="B19" s="554" t="str">
        <f t="shared" ca="1" si="0"/>
        <v>Gewinne juristischer Personen (zetagewichtet)</v>
      </c>
      <c r="C19" s="542" t="s">
        <v>114</v>
      </c>
      <c r="D19" s="1" t="s">
        <v>629</v>
      </c>
      <c r="E19" s="1" t="s">
        <v>869</v>
      </c>
      <c r="F19" s="1" t="s">
        <v>806</v>
      </c>
      <c r="G19" s="1" t="s">
        <v>790</v>
      </c>
      <c r="H19" s="1" t="s">
        <v>114</v>
      </c>
    </row>
    <row r="20" spans="2:8" x14ac:dyDescent="0.25">
      <c r="B20" s="554" t="str">
        <f t="shared" ca="1" si="0"/>
        <v>Gewinne juristischer Personen</v>
      </c>
      <c r="C20" s="542" t="s">
        <v>114</v>
      </c>
      <c r="D20" s="1" t="s">
        <v>165</v>
      </c>
      <c r="E20" s="1" t="s">
        <v>174</v>
      </c>
      <c r="F20" s="1" t="s">
        <v>271</v>
      </c>
      <c r="G20" s="1" t="s">
        <v>186</v>
      </c>
      <c r="H20" s="1" t="s">
        <v>114</v>
      </c>
    </row>
    <row r="21" spans="2:8" x14ac:dyDescent="0.25">
      <c r="B21" s="554" t="str">
        <f t="shared" ca="1" si="0"/>
        <v>Steuerrepartitionen</v>
      </c>
      <c r="C21" s="542" t="s">
        <v>114</v>
      </c>
      <c r="D21" s="1" t="s">
        <v>166</v>
      </c>
      <c r="E21" s="1" t="s">
        <v>175</v>
      </c>
      <c r="F21" s="1" t="s">
        <v>272</v>
      </c>
      <c r="G21" s="1" t="s">
        <v>232</v>
      </c>
      <c r="H21" s="1" t="s">
        <v>114</v>
      </c>
    </row>
    <row r="22" spans="2:8" x14ac:dyDescent="0.25">
      <c r="B22" s="554" t="str">
        <f t="shared" ca="1" si="0"/>
        <v>Aggregierte Steuerbemessungsgrundlage</v>
      </c>
      <c r="C22" s="542" t="s">
        <v>114</v>
      </c>
      <c r="D22" s="1" t="s">
        <v>180</v>
      </c>
      <c r="E22" s="1" t="s">
        <v>181</v>
      </c>
      <c r="F22" s="1" t="s">
        <v>273</v>
      </c>
      <c r="G22" s="1" t="s">
        <v>233</v>
      </c>
      <c r="H22" s="1" t="s">
        <v>114</v>
      </c>
    </row>
    <row r="23" spans="2:8" x14ac:dyDescent="0.25">
      <c r="B23" s="554" t="str">
        <f t="shared" ca="1" si="0"/>
        <v>Massgebende Wohnbevölkerung</v>
      </c>
      <c r="C23" s="542" t="s">
        <v>114</v>
      </c>
      <c r="D23" s="1" t="s">
        <v>0</v>
      </c>
      <c r="E23" s="1" t="s">
        <v>258</v>
      </c>
      <c r="F23" s="1" t="s">
        <v>274</v>
      </c>
      <c r="G23" s="1" t="s">
        <v>224</v>
      </c>
      <c r="H23" s="1" t="s">
        <v>114</v>
      </c>
    </row>
    <row r="24" spans="2:8" x14ac:dyDescent="0.25">
      <c r="B24" s="554" t="str">
        <f t="shared" ca="1" si="0"/>
        <v>Berechnung Ressourcenpotenzial und -index</v>
      </c>
      <c r="C24" s="542" t="s">
        <v>114</v>
      </c>
      <c r="D24" s="1" t="s">
        <v>167</v>
      </c>
      <c r="E24" s="1" t="s">
        <v>182</v>
      </c>
      <c r="F24" s="1" t="s">
        <v>275</v>
      </c>
      <c r="G24" s="1" t="s">
        <v>234</v>
      </c>
      <c r="H24" s="1" t="s">
        <v>114</v>
      </c>
    </row>
    <row r="25" spans="2:8" x14ac:dyDescent="0.25">
      <c r="B25" s="554" t="str">
        <f t="shared" ca="1" si="0"/>
        <v>Standardisierter Steuersatz</v>
      </c>
      <c r="C25" s="542" t="s">
        <v>114</v>
      </c>
      <c r="D25" s="1" t="s">
        <v>184</v>
      </c>
      <c r="E25" s="1" t="s">
        <v>178</v>
      </c>
      <c r="F25" s="1" t="s">
        <v>279</v>
      </c>
      <c r="G25" s="1" t="s">
        <v>188</v>
      </c>
      <c r="H25" s="1" t="s">
        <v>114</v>
      </c>
    </row>
    <row r="26" spans="2:8" x14ac:dyDescent="0.25">
      <c r="B26" s="554" t="str">
        <f t="shared" ca="1" si="0"/>
        <v>Auszahlungen an die ressourcenschwachen Kantone</v>
      </c>
      <c r="C26" s="542" t="s">
        <v>114</v>
      </c>
      <c r="D26" s="1" t="s">
        <v>169</v>
      </c>
      <c r="E26" s="1" t="s">
        <v>177</v>
      </c>
      <c r="F26" s="1" t="s">
        <v>277</v>
      </c>
      <c r="G26" s="1" t="s">
        <v>236</v>
      </c>
      <c r="H26" s="1" t="s">
        <v>114</v>
      </c>
    </row>
    <row r="27" spans="2:8" x14ac:dyDescent="0.25">
      <c r="B27" s="554" t="str">
        <f t="shared" ca="1" si="0"/>
        <v>Dotationen im Ressourcenausgleich</v>
      </c>
      <c r="C27" s="542" t="s">
        <v>114</v>
      </c>
      <c r="D27" s="1" t="s">
        <v>552</v>
      </c>
      <c r="E27" s="1" t="s">
        <v>553</v>
      </c>
      <c r="F27" s="1" t="s">
        <v>554</v>
      </c>
      <c r="G27" s="1" t="s">
        <v>555</v>
      </c>
      <c r="H27" s="1" t="s">
        <v>114</v>
      </c>
    </row>
    <row r="28" spans="2:8" x14ac:dyDescent="0.25">
      <c r="B28" s="554" t="str">
        <f t="shared" ca="1" si="0"/>
        <v>Einzahlungen der ressourcenstarken Kantone</v>
      </c>
      <c r="C28" s="542" t="s">
        <v>114</v>
      </c>
      <c r="D28" s="1" t="s">
        <v>168</v>
      </c>
      <c r="E28" s="1" t="s">
        <v>176</v>
      </c>
      <c r="F28" s="1" t="s">
        <v>276</v>
      </c>
      <c r="G28" s="1" t="s">
        <v>235</v>
      </c>
      <c r="H28" s="1" t="s">
        <v>114</v>
      </c>
    </row>
    <row r="29" spans="2:8" x14ac:dyDescent="0.25">
      <c r="B29" s="554" t="str">
        <f t="shared" ca="1" si="0"/>
        <v>Standardisierter Steuerertrag</v>
      </c>
      <c r="C29" s="542" t="s">
        <v>114</v>
      </c>
      <c r="D29" s="1" t="s">
        <v>183</v>
      </c>
      <c r="E29" s="1" t="s">
        <v>259</v>
      </c>
      <c r="F29" s="1" t="s">
        <v>278</v>
      </c>
      <c r="G29" s="1" t="s">
        <v>187</v>
      </c>
      <c r="H29" s="1" t="s">
        <v>114</v>
      </c>
    </row>
    <row r="30" spans="2:8" x14ac:dyDescent="0.25">
      <c r="B30" s="554" t="str">
        <f t="shared" ca="1" si="0"/>
        <v>Berechnung Faktor Alpha</v>
      </c>
      <c r="C30" s="542" t="s">
        <v>114</v>
      </c>
      <c r="D30" s="1" t="s">
        <v>748</v>
      </c>
      <c r="E30" s="1" t="s">
        <v>746</v>
      </c>
      <c r="F30" s="1" t="s">
        <v>747</v>
      </c>
      <c r="G30" s="1" t="s">
        <v>749</v>
      </c>
      <c r="H30" s="1" t="s">
        <v>114</v>
      </c>
    </row>
    <row r="31" spans="2:8" x14ac:dyDescent="0.25">
      <c r="B31" s="555" t="str">
        <f t="shared" ca="1" si="0"/>
        <v>Berechnung Faktoren Zeta</v>
      </c>
      <c r="C31" s="542" t="s">
        <v>114</v>
      </c>
      <c r="D31" s="1" t="s">
        <v>751</v>
      </c>
      <c r="E31" s="1" t="s">
        <v>753</v>
      </c>
      <c r="F31" s="1" t="s">
        <v>805</v>
      </c>
      <c r="G31" s="1" t="s">
        <v>788</v>
      </c>
      <c r="H31" s="1" t="s">
        <v>114</v>
      </c>
    </row>
    <row r="32" spans="2:8" x14ac:dyDescent="0.25">
      <c r="B32" s="554" t="str">
        <f t="shared" ca="1" si="0"/>
        <v>Zürich</v>
      </c>
      <c r="C32" s="542" t="s">
        <v>114</v>
      </c>
      <c r="D32" s="1" t="s">
        <v>2</v>
      </c>
      <c r="E32" s="1" t="s">
        <v>122</v>
      </c>
      <c r="F32" s="1" t="s">
        <v>280</v>
      </c>
      <c r="G32" s="1" t="s">
        <v>122</v>
      </c>
      <c r="H32" s="1" t="s">
        <v>114</v>
      </c>
    </row>
    <row r="33" spans="2:8" x14ac:dyDescent="0.25">
      <c r="B33" s="554" t="str">
        <f t="shared" ca="1" si="0"/>
        <v>Bern</v>
      </c>
      <c r="C33" s="542" t="s">
        <v>114</v>
      </c>
      <c r="D33" s="1" t="s">
        <v>3</v>
      </c>
      <c r="E33" s="1" t="s">
        <v>123</v>
      </c>
      <c r="F33" s="1" t="s">
        <v>281</v>
      </c>
      <c r="G33" s="1" t="s">
        <v>3</v>
      </c>
      <c r="H33" s="1" t="s">
        <v>114</v>
      </c>
    </row>
    <row r="34" spans="2:8" x14ac:dyDescent="0.25">
      <c r="B34" s="554" t="str">
        <f t="shared" ca="1" si="0"/>
        <v>Luzern</v>
      </c>
      <c r="C34" s="542" t="s">
        <v>114</v>
      </c>
      <c r="D34" s="1" t="s">
        <v>4</v>
      </c>
      <c r="E34" s="1" t="s">
        <v>124</v>
      </c>
      <c r="F34" s="1" t="s">
        <v>282</v>
      </c>
      <c r="G34" s="1" t="s">
        <v>4</v>
      </c>
      <c r="H34" s="1" t="s">
        <v>114</v>
      </c>
    </row>
    <row r="35" spans="2:8" x14ac:dyDescent="0.25">
      <c r="B35" s="554" t="str">
        <f t="shared" ca="1" si="0"/>
        <v>Uri</v>
      </c>
      <c r="C35" s="542" t="s">
        <v>114</v>
      </c>
      <c r="D35" s="1" t="s">
        <v>5</v>
      </c>
      <c r="E35" s="1" t="s">
        <v>5</v>
      </c>
      <c r="F35" s="1" t="s">
        <v>5</v>
      </c>
      <c r="G35" s="1" t="s">
        <v>5</v>
      </c>
      <c r="H35" s="1" t="s">
        <v>114</v>
      </c>
    </row>
    <row r="36" spans="2:8" x14ac:dyDescent="0.25">
      <c r="B36" s="554" t="str">
        <f t="shared" ca="1" si="0"/>
        <v>Schwyz</v>
      </c>
      <c r="C36" s="542" t="s">
        <v>114</v>
      </c>
      <c r="D36" s="1" t="s">
        <v>6</v>
      </c>
      <c r="E36" s="1" t="s">
        <v>6</v>
      </c>
      <c r="F36" s="1" t="s">
        <v>283</v>
      </c>
      <c r="G36" s="1" t="s">
        <v>6</v>
      </c>
      <c r="H36" s="1" t="s">
        <v>114</v>
      </c>
    </row>
    <row r="37" spans="2:8" x14ac:dyDescent="0.25">
      <c r="B37" s="554" t="str">
        <f t="shared" ca="1" si="0"/>
        <v>Obwalden</v>
      </c>
      <c r="C37" s="542" t="s">
        <v>114</v>
      </c>
      <c r="D37" s="1" t="s">
        <v>7</v>
      </c>
      <c r="E37" s="1" t="s">
        <v>125</v>
      </c>
      <c r="F37" s="1" t="s">
        <v>284</v>
      </c>
      <c r="G37" s="1" t="s">
        <v>7</v>
      </c>
      <c r="H37" s="1" t="s">
        <v>114</v>
      </c>
    </row>
    <row r="38" spans="2:8" x14ac:dyDescent="0.25">
      <c r="B38" s="554" t="str">
        <f t="shared" ca="1" si="0"/>
        <v>Nidwalden</v>
      </c>
      <c r="C38" s="542" t="s">
        <v>114</v>
      </c>
      <c r="D38" s="1" t="s">
        <v>8</v>
      </c>
      <c r="E38" s="1" t="s">
        <v>126</v>
      </c>
      <c r="F38" s="1" t="s">
        <v>285</v>
      </c>
      <c r="G38" s="1" t="s">
        <v>8</v>
      </c>
      <c r="H38" s="1" t="s">
        <v>114</v>
      </c>
    </row>
    <row r="39" spans="2:8" x14ac:dyDescent="0.25">
      <c r="B39" s="554" t="str">
        <f t="shared" ca="1" si="0"/>
        <v>Glarus</v>
      </c>
      <c r="C39" s="542" t="s">
        <v>114</v>
      </c>
      <c r="D39" s="1" t="s">
        <v>9</v>
      </c>
      <c r="E39" s="1" t="s">
        <v>127</v>
      </c>
      <c r="F39" s="1" t="s">
        <v>286</v>
      </c>
      <c r="G39" s="1" t="s">
        <v>9</v>
      </c>
      <c r="H39" s="1" t="s">
        <v>114</v>
      </c>
    </row>
    <row r="40" spans="2:8" x14ac:dyDescent="0.25">
      <c r="B40" s="554" t="str">
        <f t="shared" ca="1" si="0"/>
        <v>Zug</v>
      </c>
      <c r="C40" s="542" t="s">
        <v>114</v>
      </c>
      <c r="D40" s="1" t="s">
        <v>10</v>
      </c>
      <c r="E40" s="1" t="s">
        <v>128</v>
      </c>
      <c r="F40" s="1" t="s">
        <v>287</v>
      </c>
      <c r="G40" s="1" t="s">
        <v>10</v>
      </c>
      <c r="H40" s="1" t="s">
        <v>114</v>
      </c>
    </row>
    <row r="41" spans="2:8" x14ac:dyDescent="0.25">
      <c r="B41" s="554" t="str">
        <f t="shared" ca="1" si="0"/>
        <v>Freiburg</v>
      </c>
      <c r="C41" s="542" t="s">
        <v>114</v>
      </c>
      <c r="D41" s="1" t="s">
        <v>11</v>
      </c>
      <c r="E41" s="1" t="s">
        <v>129</v>
      </c>
      <c r="F41" s="1" t="s">
        <v>288</v>
      </c>
      <c r="G41" s="1" t="s">
        <v>129</v>
      </c>
      <c r="H41" s="1" t="s">
        <v>114</v>
      </c>
    </row>
    <row r="42" spans="2:8" x14ac:dyDescent="0.25">
      <c r="B42" s="554" t="str">
        <f t="shared" ca="1" si="0"/>
        <v>Solothurn</v>
      </c>
      <c r="C42" s="542" t="s">
        <v>114</v>
      </c>
      <c r="D42" s="1" t="s">
        <v>12</v>
      </c>
      <c r="E42" s="1" t="s">
        <v>130</v>
      </c>
      <c r="F42" s="1" t="s">
        <v>289</v>
      </c>
      <c r="G42" s="1" t="s">
        <v>12</v>
      </c>
      <c r="H42" s="1" t="s">
        <v>114</v>
      </c>
    </row>
    <row r="43" spans="2:8" x14ac:dyDescent="0.25">
      <c r="B43" s="554" t="str">
        <f t="shared" ca="1" si="0"/>
        <v>Basel-Stadt</v>
      </c>
      <c r="C43" s="542" t="s">
        <v>114</v>
      </c>
      <c r="D43" s="1" t="s">
        <v>13</v>
      </c>
      <c r="E43" s="1" t="s">
        <v>131</v>
      </c>
      <c r="F43" s="1" t="s">
        <v>290</v>
      </c>
      <c r="G43" s="1" t="s">
        <v>237</v>
      </c>
      <c r="H43" s="1" t="s">
        <v>114</v>
      </c>
    </row>
    <row r="44" spans="2:8" x14ac:dyDescent="0.25">
      <c r="B44" s="554" t="str">
        <f t="shared" ca="1" si="0"/>
        <v>Basel-Landschaft</v>
      </c>
      <c r="C44" s="542" t="s">
        <v>114</v>
      </c>
      <c r="D44" s="1" t="s">
        <v>14</v>
      </c>
      <c r="E44" s="1" t="s">
        <v>132</v>
      </c>
      <c r="F44" s="1" t="s">
        <v>291</v>
      </c>
      <c r="G44" s="1" t="s">
        <v>238</v>
      </c>
      <c r="H44" s="1" t="s">
        <v>114</v>
      </c>
    </row>
    <row r="45" spans="2:8" x14ac:dyDescent="0.25">
      <c r="B45" s="554" t="str">
        <f t="shared" ca="1" si="0"/>
        <v>Schaffhausen</v>
      </c>
      <c r="C45" s="542" t="s">
        <v>114</v>
      </c>
      <c r="D45" s="1" t="s">
        <v>15</v>
      </c>
      <c r="E45" s="1" t="s">
        <v>133</v>
      </c>
      <c r="F45" s="1" t="s">
        <v>292</v>
      </c>
      <c r="G45" s="1" t="s">
        <v>15</v>
      </c>
      <c r="H45" s="1" t="s">
        <v>114</v>
      </c>
    </row>
    <row r="46" spans="2:8" x14ac:dyDescent="0.25">
      <c r="B46" s="554" t="str">
        <f t="shared" ca="1" si="0"/>
        <v>Appenzell A.Rh.</v>
      </c>
      <c r="C46" s="542" t="s">
        <v>114</v>
      </c>
      <c r="D46" s="1" t="s">
        <v>16</v>
      </c>
      <c r="E46" s="1" t="s">
        <v>134</v>
      </c>
      <c r="F46" s="1" t="s">
        <v>293</v>
      </c>
      <c r="G46" s="1" t="s">
        <v>16</v>
      </c>
      <c r="H46" s="1" t="s">
        <v>114</v>
      </c>
    </row>
    <row r="47" spans="2:8" x14ac:dyDescent="0.25">
      <c r="B47" s="554" t="str">
        <f t="shared" ca="1" si="0"/>
        <v>Appenzell I.Rh.</v>
      </c>
      <c r="C47" s="542" t="s">
        <v>114</v>
      </c>
      <c r="D47" s="1" t="s">
        <v>17</v>
      </c>
      <c r="E47" s="1" t="s">
        <v>135</v>
      </c>
      <c r="F47" s="1" t="s">
        <v>294</v>
      </c>
      <c r="G47" s="1" t="s">
        <v>17</v>
      </c>
      <c r="H47" s="1" t="s">
        <v>114</v>
      </c>
    </row>
    <row r="48" spans="2:8" x14ac:dyDescent="0.25">
      <c r="B48" s="554" t="str">
        <f t="shared" ca="1" si="0"/>
        <v>St. Gallen</v>
      </c>
      <c r="C48" s="542" t="s">
        <v>114</v>
      </c>
      <c r="D48" s="1" t="s">
        <v>18</v>
      </c>
      <c r="E48" s="1" t="s">
        <v>136</v>
      </c>
      <c r="F48" s="1" t="s">
        <v>295</v>
      </c>
      <c r="G48" s="1" t="s">
        <v>18</v>
      </c>
      <c r="H48" s="1" t="s">
        <v>114</v>
      </c>
    </row>
    <row r="49" spans="2:8" x14ac:dyDescent="0.25">
      <c r="B49" s="554" t="str">
        <f t="shared" ca="1" si="0"/>
        <v>Graubünden</v>
      </c>
      <c r="C49" s="542" t="s">
        <v>114</v>
      </c>
      <c r="D49" s="1" t="s">
        <v>19</v>
      </c>
      <c r="E49" s="1" t="s">
        <v>137</v>
      </c>
      <c r="F49" s="1" t="s">
        <v>296</v>
      </c>
      <c r="G49" s="1" t="s">
        <v>19</v>
      </c>
      <c r="H49" s="1" t="s">
        <v>114</v>
      </c>
    </row>
    <row r="50" spans="2:8" x14ac:dyDescent="0.25">
      <c r="B50" s="554" t="str">
        <f t="shared" ca="1" si="0"/>
        <v>Aargau</v>
      </c>
      <c r="C50" s="542" t="s">
        <v>114</v>
      </c>
      <c r="D50" s="1" t="s">
        <v>20</v>
      </c>
      <c r="E50" s="1" t="s">
        <v>138</v>
      </c>
      <c r="F50" s="1" t="s">
        <v>297</v>
      </c>
      <c r="G50" s="1" t="s">
        <v>20</v>
      </c>
      <c r="H50" s="1" t="s">
        <v>114</v>
      </c>
    </row>
    <row r="51" spans="2:8" x14ac:dyDescent="0.25">
      <c r="B51" s="554" t="str">
        <f t="shared" ca="1" si="0"/>
        <v>Thurgau</v>
      </c>
      <c r="C51" s="542" t="s">
        <v>114</v>
      </c>
      <c r="D51" s="1" t="s">
        <v>21</v>
      </c>
      <c r="E51" s="1" t="s">
        <v>139</v>
      </c>
      <c r="F51" s="1" t="s">
        <v>298</v>
      </c>
      <c r="G51" s="1" t="s">
        <v>21</v>
      </c>
      <c r="H51" s="1" t="s">
        <v>114</v>
      </c>
    </row>
    <row r="52" spans="2:8" x14ac:dyDescent="0.25">
      <c r="B52" s="554" t="str">
        <f t="shared" ca="1" si="0"/>
        <v>Tessin</v>
      </c>
      <c r="C52" s="542" t="s">
        <v>114</v>
      </c>
      <c r="D52" s="1" t="s">
        <v>22</v>
      </c>
      <c r="E52" s="1" t="s">
        <v>22</v>
      </c>
      <c r="F52" s="1" t="s">
        <v>189</v>
      </c>
      <c r="G52" s="1" t="s">
        <v>189</v>
      </c>
      <c r="H52" s="1" t="s">
        <v>114</v>
      </c>
    </row>
    <row r="53" spans="2:8" x14ac:dyDescent="0.25">
      <c r="B53" s="554" t="str">
        <f t="shared" ca="1" si="0"/>
        <v>Waadt</v>
      </c>
      <c r="C53" s="542" t="s">
        <v>114</v>
      </c>
      <c r="D53" s="1" t="s">
        <v>23</v>
      </c>
      <c r="E53" s="1" t="s">
        <v>140</v>
      </c>
      <c r="F53" s="1" t="s">
        <v>140</v>
      </c>
      <c r="G53" s="1" t="s">
        <v>140</v>
      </c>
      <c r="H53" s="1" t="s">
        <v>114</v>
      </c>
    </row>
    <row r="54" spans="2:8" x14ac:dyDescent="0.25">
      <c r="B54" s="554" t="str">
        <f t="shared" ca="1" si="0"/>
        <v>Wallis</v>
      </c>
      <c r="C54" s="542" t="s">
        <v>114</v>
      </c>
      <c r="D54" s="1" t="s">
        <v>24</v>
      </c>
      <c r="E54" s="1" t="s">
        <v>141</v>
      </c>
      <c r="F54" s="1" t="s">
        <v>299</v>
      </c>
      <c r="G54" s="1" t="s">
        <v>141</v>
      </c>
      <c r="H54" s="1" t="s">
        <v>114</v>
      </c>
    </row>
    <row r="55" spans="2:8" x14ac:dyDescent="0.25">
      <c r="B55" s="554" t="str">
        <f t="shared" ca="1" si="0"/>
        <v>Neuenburg</v>
      </c>
      <c r="C55" s="542" t="s">
        <v>114</v>
      </c>
      <c r="D55" s="1" t="s">
        <v>25</v>
      </c>
      <c r="E55" s="1" t="s">
        <v>142</v>
      </c>
      <c r="F55" s="1" t="s">
        <v>142</v>
      </c>
      <c r="G55" s="1" t="s">
        <v>142</v>
      </c>
      <c r="H55" s="1" t="s">
        <v>114</v>
      </c>
    </row>
    <row r="56" spans="2:8" x14ac:dyDescent="0.25">
      <c r="B56" s="554" t="str">
        <f t="shared" ca="1" si="0"/>
        <v>Genf</v>
      </c>
      <c r="C56" s="542" t="s">
        <v>114</v>
      </c>
      <c r="D56" s="1" t="s">
        <v>26</v>
      </c>
      <c r="E56" s="1" t="s">
        <v>143</v>
      </c>
      <c r="F56" s="1" t="s">
        <v>300</v>
      </c>
      <c r="G56" s="1" t="s">
        <v>190</v>
      </c>
      <c r="H56" s="1" t="s">
        <v>114</v>
      </c>
    </row>
    <row r="57" spans="2:8" x14ac:dyDescent="0.25">
      <c r="B57" s="554" t="str">
        <f t="shared" ca="1" si="0"/>
        <v>Jura</v>
      </c>
      <c r="C57" s="542" t="s">
        <v>114</v>
      </c>
      <c r="D57" s="1" t="s">
        <v>27</v>
      </c>
      <c r="E57" s="1" t="s">
        <v>27</v>
      </c>
      <c r="F57" s="1" t="s">
        <v>301</v>
      </c>
      <c r="G57" s="1" t="s">
        <v>27</v>
      </c>
      <c r="H57" s="1" t="s">
        <v>114</v>
      </c>
    </row>
    <row r="58" spans="2:8" x14ac:dyDescent="0.25">
      <c r="B58" s="555" t="str">
        <f t="shared" ca="1" si="0"/>
        <v>Schweiz</v>
      </c>
      <c r="C58" s="542" t="s">
        <v>114</v>
      </c>
      <c r="D58" s="1" t="s">
        <v>40</v>
      </c>
      <c r="E58" s="1" t="s">
        <v>121</v>
      </c>
      <c r="F58" s="1" t="s">
        <v>302</v>
      </c>
      <c r="G58" s="1" t="s">
        <v>191</v>
      </c>
      <c r="H58" s="1" t="s">
        <v>114</v>
      </c>
    </row>
    <row r="59" spans="2:8" x14ac:dyDescent="0.25">
      <c r="B59" s="554" t="str">
        <f t="shared" ca="1" si="0"/>
        <v>Spalte</v>
      </c>
      <c r="C59" s="542" t="s">
        <v>114</v>
      </c>
      <c r="D59" s="1" t="s">
        <v>29</v>
      </c>
      <c r="E59" s="1" t="s">
        <v>200</v>
      </c>
      <c r="F59" s="1" t="s">
        <v>303</v>
      </c>
      <c r="G59" s="1" t="s">
        <v>192</v>
      </c>
      <c r="H59" s="1" t="s">
        <v>114</v>
      </c>
    </row>
    <row r="60" spans="2:8" x14ac:dyDescent="0.25">
      <c r="B60" s="554" t="str">
        <f t="shared" ca="1" si="0"/>
        <v>Formel</v>
      </c>
      <c r="C60" s="542" t="s">
        <v>114</v>
      </c>
      <c r="D60" s="1" t="s">
        <v>36</v>
      </c>
      <c r="E60" s="1" t="s">
        <v>201</v>
      </c>
      <c r="F60" s="1" t="s">
        <v>193</v>
      </c>
      <c r="G60" s="1" t="s">
        <v>193</v>
      </c>
      <c r="H60" s="1" t="s">
        <v>114</v>
      </c>
    </row>
    <row r="61" spans="2:8" x14ac:dyDescent="0.25">
      <c r="B61" s="554" t="str">
        <f t="shared" ca="1" si="0"/>
        <v>Kategorie</v>
      </c>
      <c r="C61" s="542" t="s">
        <v>114</v>
      </c>
      <c r="D61" s="1" t="s">
        <v>52</v>
      </c>
      <c r="E61" s="1" t="s">
        <v>202</v>
      </c>
      <c r="F61" s="1" t="s">
        <v>304</v>
      </c>
      <c r="G61" s="1" t="s">
        <v>194</v>
      </c>
      <c r="H61" s="1" t="s">
        <v>114</v>
      </c>
    </row>
    <row r="62" spans="2:8" x14ac:dyDescent="0.25">
      <c r="B62" s="554" t="str">
        <f t="shared" ca="1" si="0"/>
        <v>Einheit</v>
      </c>
      <c r="C62" s="542" t="s">
        <v>114</v>
      </c>
      <c r="D62" s="1" t="s">
        <v>1</v>
      </c>
      <c r="E62" s="1" t="s">
        <v>203</v>
      </c>
      <c r="F62" s="1" t="s">
        <v>305</v>
      </c>
      <c r="G62" s="1" t="s">
        <v>195</v>
      </c>
      <c r="H62" s="1" t="s">
        <v>114</v>
      </c>
    </row>
    <row r="63" spans="2:8" x14ac:dyDescent="0.25">
      <c r="B63" s="554" t="str">
        <f t="shared" ca="1" si="0"/>
        <v>CHF</v>
      </c>
      <c r="D63" s="1" t="s">
        <v>38</v>
      </c>
      <c r="E63" s="1" t="s">
        <v>38</v>
      </c>
      <c r="F63" s="1" t="s">
        <v>38</v>
      </c>
      <c r="G63" s="1" t="s">
        <v>38</v>
      </c>
      <c r="H63" s="1" t="s">
        <v>114</v>
      </c>
    </row>
    <row r="64" spans="2:8" x14ac:dyDescent="0.25">
      <c r="B64" s="554" t="str">
        <f t="shared" ca="1" si="0"/>
        <v>CHF 1'000</v>
      </c>
      <c r="D64" s="1" t="s">
        <v>37</v>
      </c>
      <c r="E64" s="1" t="s">
        <v>37</v>
      </c>
      <c r="F64" s="1" t="s">
        <v>306</v>
      </c>
      <c r="G64" s="1" t="s">
        <v>196</v>
      </c>
      <c r="H64" s="1" t="s">
        <v>114</v>
      </c>
    </row>
    <row r="65" spans="2:8" x14ac:dyDescent="0.25">
      <c r="B65" s="554" t="str">
        <f t="shared" ca="1" si="0"/>
        <v>Anzahl</v>
      </c>
      <c r="C65" s="542" t="s">
        <v>114</v>
      </c>
      <c r="D65" s="1" t="s">
        <v>86</v>
      </c>
      <c r="E65" s="1" t="s">
        <v>204</v>
      </c>
      <c r="F65" s="1" t="s">
        <v>307</v>
      </c>
      <c r="G65" s="1" t="s">
        <v>239</v>
      </c>
      <c r="H65" s="1" t="s">
        <v>114</v>
      </c>
    </row>
    <row r="66" spans="2:8" x14ac:dyDescent="0.25">
      <c r="B66" s="554" t="str">
        <f t="shared" ca="1" si="0"/>
        <v>Punkte</v>
      </c>
      <c r="C66" s="542" t="s">
        <v>114</v>
      </c>
      <c r="D66" s="1" t="s">
        <v>62</v>
      </c>
      <c r="E66" s="1" t="s">
        <v>197</v>
      </c>
      <c r="F66" s="1" t="s">
        <v>308</v>
      </c>
      <c r="G66" s="1" t="s">
        <v>197</v>
      </c>
      <c r="H66" s="1" t="s">
        <v>114</v>
      </c>
    </row>
    <row r="67" spans="2:8" x14ac:dyDescent="0.25">
      <c r="B67" s="555" t="str">
        <f t="shared" ca="1" si="0"/>
        <v>Prozent</v>
      </c>
      <c r="C67" s="542" t="s">
        <v>114</v>
      </c>
      <c r="D67" s="1" t="s">
        <v>63</v>
      </c>
      <c r="E67" s="1" t="s">
        <v>336</v>
      </c>
      <c r="F67" s="1" t="s">
        <v>309</v>
      </c>
      <c r="G67" s="1" t="s">
        <v>240</v>
      </c>
      <c r="H67" s="1" t="s">
        <v>114</v>
      </c>
    </row>
    <row r="68" spans="2:8" x14ac:dyDescent="0.25">
      <c r="B68" s="554" t="str">
        <f t="shared" ca="1" si="0"/>
        <v>Total</v>
      </c>
      <c r="C68" s="542" t="s">
        <v>114</v>
      </c>
      <c r="D68" s="1" t="s">
        <v>28</v>
      </c>
      <c r="E68" s="1" t="s">
        <v>28</v>
      </c>
      <c r="F68" s="1" t="s">
        <v>310</v>
      </c>
      <c r="G68" s="1" t="s">
        <v>28</v>
      </c>
      <c r="H68" s="1" t="s">
        <v>114</v>
      </c>
    </row>
    <row r="69" spans="2:8" x14ac:dyDescent="0.25">
      <c r="B69" s="554" t="str">
        <f t="shared" ca="1" si="0"/>
        <v>Referenzjahr</v>
      </c>
      <c r="D69" s="1" t="s">
        <v>51</v>
      </c>
      <c r="E69" s="1" t="s">
        <v>205</v>
      </c>
      <c r="F69" s="1" t="s">
        <v>331</v>
      </c>
      <c r="G69" s="1" t="s">
        <v>198</v>
      </c>
      <c r="H69" s="1" t="s">
        <v>114</v>
      </c>
    </row>
    <row r="70" spans="2:8" x14ac:dyDescent="0.25">
      <c r="B70" s="554" t="str">
        <f t="shared" ca="1" si="0"/>
        <v>Berechnungsdatum</v>
      </c>
      <c r="D70" s="1" t="s">
        <v>67</v>
      </c>
      <c r="E70" s="1" t="s">
        <v>260</v>
      </c>
      <c r="F70" s="1" t="s">
        <v>332</v>
      </c>
      <c r="G70" s="1" t="s">
        <v>241</v>
      </c>
      <c r="H70" s="1" t="s">
        <v>114</v>
      </c>
    </row>
    <row r="71" spans="2:8" x14ac:dyDescent="0.25">
      <c r="B71" s="554" t="str">
        <f t="shared" ca="1" si="0"/>
        <v>Berechnungs-ID</v>
      </c>
      <c r="D71" s="1" t="s">
        <v>68</v>
      </c>
      <c r="E71" s="1" t="s">
        <v>261</v>
      </c>
      <c r="F71" s="1" t="s">
        <v>333</v>
      </c>
      <c r="G71" s="1" t="s">
        <v>242</v>
      </c>
      <c r="H71" s="1" t="s">
        <v>114</v>
      </c>
    </row>
    <row r="72" spans="2:8" x14ac:dyDescent="0.25">
      <c r="B72" s="554" t="str">
        <f t="shared" ca="1" si="0"/>
        <v>Bemessungsjahr</v>
      </c>
      <c r="D72" s="1" t="s">
        <v>92</v>
      </c>
      <c r="E72" s="1" t="s">
        <v>206</v>
      </c>
      <c r="F72" s="1" t="s">
        <v>311</v>
      </c>
      <c r="G72" s="1" t="s">
        <v>199</v>
      </c>
      <c r="H72" s="1" t="s">
        <v>114</v>
      </c>
    </row>
    <row r="73" spans="2:8" x14ac:dyDescent="0.25">
      <c r="B73" s="554" t="str">
        <f t="shared" ca="1" si="0"/>
        <v>Bemessungsjahr 2020</v>
      </c>
      <c r="C73" s="542" t="s">
        <v>114</v>
      </c>
      <c r="D73" s="1" t="str">
        <f>D$72 &amp; " " &amp; $G$3-6</f>
        <v>Bemessungsjahr 2020</v>
      </c>
      <c r="E73" s="1" t="str">
        <f>E$72 &amp; " " &amp; $G$3-6</f>
        <v>Année de calcul 2020</v>
      </c>
      <c r="F73" s="1" t="str">
        <f>F$72 &amp; " " &amp; $G$3-6</f>
        <v>Anno di calcolo 2020</v>
      </c>
      <c r="G73" s="1" t="str">
        <f>G$72 &amp; " " &amp; $G$3-6</f>
        <v>Assessment year 2020</v>
      </c>
      <c r="H73" s="1" t="s">
        <v>114</v>
      </c>
    </row>
    <row r="74" spans="2:8" x14ac:dyDescent="0.25">
      <c r="B74" s="554" t="str">
        <f t="shared" ca="1" si="0"/>
        <v>Bemessungsjahr 2021</v>
      </c>
      <c r="C74" s="542" t="s">
        <v>114</v>
      </c>
      <c r="D74" s="1" t="str">
        <f>D$72 &amp; " " &amp; $G$3-5</f>
        <v>Bemessungsjahr 2021</v>
      </c>
      <c r="E74" s="1" t="str">
        <f>E$72 &amp; " " &amp; $G$3-5</f>
        <v>Année de calcul 2021</v>
      </c>
      <c r="F74" s="1" t="str">
        <f>F$72 &amp; " " &amp; $G$3-5</f>
        <v>Anno di calcolo 2021</v>
      </c>
      <c r="G74" s="1" t="str">
        <f>G$72 &amp; " " &amp; $G$3-5</f>
        <v>Assessment year 2021</v>
      </c>
      <c r="H74" s="1" t="s">
        <v>114</v>
      </c>
    </row>
    <row r="75" spans="2:8" x14ac:dyDescent="0.25">
      <c r="B75" s="555" t="str">
        <f t="shared" ref="B75:B252" ca="1" si="1">INDIRECT(ADDRESS(ROW(),$D$7+3))</f>
        <v>Bemessungsjahr 2022</v>
      </c>
      <c r="D75" s="1" t="str">
        <f>D$72 &amp; " " &amp; $G$3-4</f>
        <v>Bemessungsjahr 2022</v>
      </c>
      <c r="E75" s="1" t="str">
        <f>E$72 &amp; " " &amp; $G$3-4</f>
        <v>Année de calcul 2022</v>
      </c>
      <c r="F75" s="1" t="str">
        <f>F$72 &amp; " " &amp; $G$3-4</f>
        <v>Anno di calcolo 2022</v>
      </c>
      <c r="G75" s="1" t="str">
        <f>G$72 &amp; " " &amp; $G$3-4</f>
        <v>Assessment year 2022</v>
      </c>
      <c r="H75" s="1" t="s">
        <v>114</v>
      </c>
    </row>
    <row r="76" spans="2:8" x14ac:dyDescent="0.25">
      <c r="B76" s="556" t="str">
        <f t="shared" ca="1" si="1"/>
        <v>Zahlungen im</v>
      </c>
      <c r="C76" s="542" t="s">
        <v>148</v>
      </c>
      <c r="D76" s="563" t="s">
        <v>84</v>
      </c>
      <c r="E76" s="563" t="s">
        <v>262</v>
      </c>
      <c r="F76" s="563" t="s">
        <v>312</v>
      </c>
      <c r="G76" s="563" t="s">
        <v>243</v>
      </c>
      <c r="H76" s="563" t="s">
        <v>114</v>
      </c>
    </row>
    <row r="77" spans="2:8" x14ac:dyDescent="0.25">
      <c r="B77" s="556" t="str">
        <f t="shared" ca="1" si="1"/>
        <v>Ressourcenausgleich 2026</v>
      </c>
      <c r="C77" s="542" t="s">
        <v>114</v>
      </c>
      <c r="D77" s="563" t="str">
        <f>"Ressourcenausgleich " &amp; $G$3</f>
        <v>Ressourcenausgleich 2026</v>
      </c>
      <c r="E77" s="563" t="str">
        <f>"péréquation des ressources " &amp; $G$3</f>
        <v>péréquation des ressources 2026</v>
      </c>
      <c r="F77" s="563" t="str">
        <f>"Perequazione delle risorse " &amp; $G$3</f>
        <v>Perequazione delle risorse 2026</v>
      </c>
      <c r="G77" s="563" t="str">
        <f>"Resource equalization " &amp; $G$3</f>
        <v>Resource equalization 2026</v>
      </c>
      <c r="H77" s="563" t="s">
        <v>114</v>
      </c>
    </row>
    <row r="78" spans="2:8" x14ac:dyDescent="0.25">
      <c r="B78" s="554" t="str">
        <f t="shared" ca="1" si="1"/>
        <v>(+) Einzahlungen; (-) Auszahlungen in CHF</v>
      </c>
      <c r="C78" s="542" t="s">
        <v>114</v>
      </c>
      <c r="D78" s="1" t="s">
        <v>103</v>
      </c>
      <c r="E78" s="1" t="s">
        <v>335</v>
      </c>
      <c r="F78" s="1" t="s">
        <v>313</v>
      </c>
      <c r="G78" s="1" t="s">
        <v>244</v>
      </c>
      <c r="H78" s="1" t="s">
        <v>114</v>
      </c>
    </row>
    <row r="79" spans="2:8" x14ac:dyDescent="0.25">
      <c r="B79" s="554" t="str">
        <f t="shared" ca="1" si="1"/>
        <v>Ressourcen-
index</v>
      </c>
      <c r="C79" s="542" t="s">
        <v>114</v>
      </c>
      <c r="D79" s="1" t="s">
        <v>98</v>
      </c>
      <c r="E79" s="1" t="s">
        <v>387</v>
      </c>
      <c r="F79" s="1" t="s">
        <v>404</v>
      </c>
      <c r="G79" s="1" t="s">
        <v>406</v>
      </c>
      <c r="H79" s="1" t="s">
        <v>114</v>
      </c>
    </row>
    <row r="80" spans="2:8" x14ac:dyDescent="0.25">
      <c r="B80" s="554" t="str">
        <f t="shared" ca="1" si="1"/>
        <v>Ausgleichszahlungen</v>
      </c>
      <c r="C80" s="542" t="s">
        <v>114</v>
      </c>
      <c r="D80" s="1" t="s">
        <v>65</v>
      </c>
      <c r="E80" s="1" t="s">
        <v>207</v>
      </c>
      <c r="F80" s="1" t="s">
        <v>314</v>
      </c>
      <c r="G80" s="1" t="s">
        <v>245</v>
      </c>
      <c r="H80" s="1" t="s">
        <v>114</v>
      </c>
    </row>
    <row r="81" spans="2:8" x14ac:dyDescent="0.25">
      <c r="B81" s="554" t="str">
        <f t="shared" ca="1" si="1"/>
        <v>Pro Einwohner</v>
      </c>
      <c r="C81" s="542" t="s">
        <v>114</v>
      </c>
      <c r="D81" s="1" t="s">
        <v>66</v>
      </c>
      <c r="E81" s="1" t="s">
        <v>208</v>
      </c>
      <c r="F81" s="1" t="s">
        <v>315</v>
      </c>
      <c r="G81" s="1" t="s">
        <v>246</v>
      </c>
      <c r="H81" s="1" t="s">
        <v>114</v>
      </c>
    </row>
    <row r="82" spans="2:8" x14ac:dyDescent="0.25">
      <c r="B82" s="554" t="str">
        <f t="shared" ca="1" si="1"/>
        <v>Index SSE
nach
Ausgleich</v>
      </c>
      <c r="C82" s="542" t="s">
        <v>114</v>
      </c>
      <c r="D82" s="1" t="s">
        <v>88</v>
      </c>
      <c r="E82" s="1" t="s">
        <v>401</v>
      </c>
      <c r="F82" s="1" t="s">
        <v>439</v>
      </c>
      <c r="G82" s="1" t="s">
        <v>467</v>
      </c>
      <c r="H82" s="1" t="s">
        <v>114</v>
      </c>
    </row>
    <row r="83" spans="2:8" x14ac:dyDescent="0.25">
      <c r="B83" s="555" t="str">
        <f t="shared" ca="1" si="1"/>
        <v>Die Berechnung des Ressourcenausgleichs wird im technischen Bericht detailliert beschrieben:
www.efv.admin.ch → Themen  → Finanzausgleich  → Dokumentation</v>
      </c>
      <c r="C83" s="542" t="s">
        <v>114</v>
      </c>
      <c r="D83" s="1" t="s">
        <v>102</v>
      </c>
      <c r="E83" s="1" t="s">
        <v>403</v>
      </c>
      <c r="F83" s="1" t="s">
        <v>407</v>
      </c>
      <c r="G83" s="1" t="s">
        <v>408</v>
      </c>
      <c r="H83" s="1" t="s">
        <v>114</v>
      </c>
    </row>
    <row r="84" spans="2:8" x14ac:dyDescent="0.25">
      <c r="B84" s="556" t="str">
        <f t="shared" ca="1" si="1"/>
        <v>Einkommen natürlicher Personen 2026</v>
      </c>
      <c r="C84" s="542" t="s">
        <v>149</v>
      </c>
      <c r="D84" s="563" t="str">
        <f>"Einkommen natürlicher Personen " &amp; $G$3</f>
        <v>Einkommen natürlicher Personen 2026</v>
      </c>
      <c r="E84" s="563" t="str">
        <f>"Revenu des personnes physiques " &amp; $G$3</f>
        <v>Revenu des personnes physiques 2026</v>
      </c>
      <c r="F84" s="563" t="str">
        <f>"Reddito delle persone fisiche " &amp; $G$3</f>
        <v>Reddito delle persone fisiche 2026</v>
      </c>
      <c r="G84" s="563" t="str">
        <f>"Personal income " &amp; $G$3</f>
        <v>Personal income 2026</v>
      </c>
      <c r="H84" s="563" t="s">
        <v>114</v>
      </c>
    </row>
    <row r="85" spans="2:8" ht="11.25" customHeight="1" x14ac:dyDescent="0.25">
      <c r="B85" s="554" t="str">
        <f t="shared" ca="1" si="1"/>
        <v>Steuerpflichtige mit steuerbarem Einkommen
grösser oder gleich dem Freibetrag</v>
      </c>
      <c r="C85" s="542" t="s">
        <v>114</v>
      </c>
      <c r="D85" s="1" t="s">
        <v>471</v>
      </c>
      <c r="E85" s="1" t="s">
        <v>475</v>
      </c>
      <c r="F85" s="1" t="s">
        <v>476</v>
      </c>
      <c r="G85" s="1" t="s">
        <v>477</v>
      </c>
      <c r="H85" s="1" t="s">
        <v>114</v>
      </c>
    </row>
    <row r="86" spans="2:8" ht="11.25" customHeight="1" x14ac:dyDescent="0.25">
      <c r="B86" s="554" t="str">
        <f t="shared" ca="1" si="1"/>
        <v>Steuerpflichtige</v>
      </c>
      <c r="C86" s="542" t="s">
        <v>114</v>
      </c>
      <c r="D86" s="1" t="s">
        <v>90</v>
      </c>
      <c r="E86" s="1" t="s">
        <v>263</v>
      </c>
      <c r="F86" s="1" t="s">
        <v>316</v>
      </c>
      <c r="G86" s="1" t="s">
        <v>441</v>
      </c>
      <c r="H86" s="1" t="s">
        <v>114</v>
      </c>
    </row>
    <row r="87" spans="2:8" ht="11.25" customHeight="1" x14ac:dyDescent="0.25">
      <c r="B87" s="554" t="str">
        <f t="shared" ca="1" si="1"/>
        <v>Steuerbares Einkommen
der Steuerpflichtigen</v>
      </c>
      <c r="C87" s="542" t="s">
        <v>114</v>
      </c>
      <c r="D87" s="1" t="s">
        <v>337</v>
      </c>
      <c r="E87" s="1" t="s">
        <v>365</v>
      </c>
      <c r="F87" s="1" t="s">
        <v>405</v>
      </c>
      <c r="G87" s="1" t="s">
        <v>440</v>
      </c>
      <c r="H87" s="1" t="s">
        <v>114</v>
      </c>
    </row>
    <row r="88" spans="2:8" ht="11.25" customHeight="1" x14ac:dyDescent="0.25">
      <c r="B88" s="554" t="str">
        <f t="shared" ca="1" si="1"/>
        <v>Massgebendes
Einkommen der
natürlichen
Personen</v>
      </c>
      <c r="C88" s="542" t="s">
        <v>114</v>
      </c>
      <c r="D88" s="1" t="s">
        <v>348</v>
      </c>
      <c r="E88" s="1" t="s">
        <v>366</v>
      </c>
      <c r="F88" s="1" t="s">
        <v>422</v>
      </c>
      <c r="G88" s="1" t="s">
        <v>910</v>
      </c>
      <c r="H88" s="1" t="s">
        <v>114</v>
      </c>
    </row>
    <row r="89" spans="2:8" ht="11.25" customHeight="1" x14ac:dyDescent="0.25">
      <c r="B89" s="554" t="str">
        <f t="shared" ca="1" si="1"/>
        <v>Freibetrag pro
steuerpflichtige Person</v>
      </c>
      <c r="C89" s="542" t="s">
        <v>114</v>
      </c>
      <c r="D89" s="1" t="s">
        <v>472</v>
      </c>
      <c r="E89" s="1" t="s">
        <v>473</v>
      </c>
      <c r="F89" s="1" t="s">
        <v>474</v>
      </c>
      <c r="G89" s="1" t="s">
        <v>478</v>
      </c>
      <c r="H89" s="1" t="s">
        <v>114</v>
      </c>
    </row>
    <row r="90" spans="2:8" x14ac:dyDescent="0.25">
      <c r="B90" s="555" t="str">
        <f t="shared" ca="1" si="1"/>
        <v>Bemessungsjahr</v>
      </c>
      <c r="C90" s="542" t="s">
        <v>114</v>
      </c>
      <c r="D90" s="1" t="s">
        <v>92</v>
      </c>
      <c r="E90" s="1" t="s">
        <v>206</v>
      </c>
      <c r="F90" s="1" t="s">
        <v>311</v>
      </c>
      <c r="G90" s="1" t="s">
        <v>199</v>
      </c>
      <c r="H90" s="1" t="s">
        <v>114</v>
      </c>
    </row>
    <row r="91" spans="2:8" x14ac:dyDescent="0.25">
      <c r="B91" s="556" t="str">
        <f t="shared" ca="1" si="1"/>
        <v>Quellenbesteuerte Einkommen natürlicher Personen 2026</v>
      </c>
      <c r="C91" s="542" t="s">
        <v>150</v>
      </c>
      <c r="D91" s="563" t="str">
        <f>"Quellenbesteuerte Einkommen natürlicher Personen " &amp; $G$3</f>
        <v>Quellenbesteuerte Einkommen natürlicher Personen 2026</v>
      </c>
      <c r="E91" s="563" t="str">
        <f>"Revenu des personnes physiques pour l’imposition à la source " &amp; $G$3</f>
        <v>Revenu des personnes physiques pour l’imposition à la source 2026</v>
      </c>
      <c r="F91" s="563" t="str">
        <f>"Reddito tassato alla fonte delle persone fisiche " &amp; $G$3</f>
        <v>Reddito tassato alla fonte delle persone fisiche 2026</v>
      </c>
      <c r="G91" s="563" t="str">
        <f>"Personal income taxed at source " &amp; $G$3</f>
        <v>Personal income taxed at source 2026</v>
      </c>
      <c r="H91" s="563" t="s">
        <v>114</v>
      </c>
    </row>
    <row r="92" spans="2:8" x14ac:dyDescent="0.25">
      <c r="B92" s="554" t="str">
        <f t="shared" ca="1" si="1"/>
        <v>Bruttoeinkommen</v>
      </c>
      <c r="C92" s="542" t="s">
        <v>114</v>
      </c>
      <c r="D92" s="1" t="s">
        <v>94</v>
      </c>
      <c r="E92" s="1" t="s">
        <v>209</v>
      </c>
      <c r="F92" s="1" t="s">
        <v>317</v>
      </c>
      <c r="G92" s="1" t="s">
        <v>247</v>
      </c>
      <c r="H92" s="1" t="s">
        <v>114</v>
      </c>
    </row>
    <row r="93" spans="2:8" x14ac:dyDescent="0.25">
      <c r="B93" s="554" t="str">
        <f t="shared" ca="1" si="1"/>
        <v>Gebietsansässige
Ausländer und
ausländische
Verwaltungsräte</v>
      </c>
      <c r="C93" s="542" t="s">
        <v>114</v>
      </c>
      <c r="D93" s="1" t="s">
        <v>338</v>
      </c>
      <c r="E93" s="1" t="s">
        <v>367</v>
      </c>
      <c r="F93" s="1" t="s">
        <v>409</v>
      </c>
      <c r="G93" s="1" t="s">
        <v>442</v>
      </c>
      <c r="H93" s="1" t="s">
        <v>114</v>
      </c>
    </row>
    <row r="94" spans="2:8" x14ac:dyDescent="0.25">
      <c r="B94" s="554" t="str">
        <f t="shared" ca="1" si="1"/>
        <v>Vollständig
besteuerte
Grenzgänger</v>
      </c>
      <c r="C94" s="542" t="s">
        <v>114</v>
      </c>
      <c r="D94" s="1" t="s">
        <v>339</v>
      </c>
      <c r="E94" s="1" t="s">
        <v>368</v>
      </c>
      <c r="F94" s="1" t="s">
        <v>410</v>
      </c>
      <c r="G94" s="1" t="s">
        <v>443</v>
      </c>
      <c r="H94" s="1" t="s">
        <v>114</v>
      </c>
    </row>
    <row r="95" spans="2:8" x14ac:dyDescent="0.25">
      <c r="B95" s="554" t="str">
        <f t="shared" ca="1" si="1"/>
        <v>Begrenzt
besteuerte
Grenzgänger
aus Österreich</v>
      </c>
      <c r="C95" s="542" t="s">
        <v>114</v>
      </c>
      <c r="D95" s="1" t="s">
        <v>340</v>
      </c>
      <c r="E95" s="1" t="s">
        <v>369</v>
      </c>
      <c r="F95" s="1" t="s">
        <v>411</v>
      </c>
      <c r="G95" s="1" t="s">
        <v>444</v>
      </c>
      <c r="H95" s="1" t="s">
        <v>114</v>
      </c>
    </row>
    <row r="96" spans="2:8" x14ac:dyDescent="0.25">
      <c r="B96" s="554" t="str">
        <f t="shared" ca="1" si="1"/>
        <v>Begrenzt
besteuerte
Grenzgänger
aus Deutschland</v>
      </c>
      <c r="C96" s="542" t="s">
        <v>114</v>
      </c>
      <c r="D96" s="1" t="s">
        <v>341</v>
      </c>
      <c r="E96" s="1" t="s">
        <v>370</v>
      </c>
      <c r="F96" s="1" t="s">
        <v>413</v>
      </c>
      <c r="G96" s="1" t="s">
        <v>445</v>
      </c>
      <c r="H96" s="1" t="s">
        <v>114</v>
      </c>
    </row>
    <row r="97" spans="2:8" x14ac:dyDescent="0.25">
      <c r="B97" s="554" t="str">
        <f t="shared" ca="1" si="1"/>
        <v>Begrenzt besteuerte
Grenzgänger aus
Frankreich mit
Besteuerung durch
den Kanton Genf</v>
      </c>
      <c r="C97" s="542" t="s">
        <v>114</v>
      </c>
      <c r="D97" s="1" t="s">
        <v>342</v>
      </c>
      <c r="E97" s="1" t="s">
        <v>373</v>
      </c>
      <c r="F97" s="1" t="s">
        <v>412</v>
      </c>
      <c r="G97" s="1" t="s">
        <v>447</v>
      </c>
      <c r="H97" s="1" t="s">
        <v>114</v>
      </c>
    </row>
    <row r="98" spans="2:8" x14ac:dyDescent="0.25">
      <c r="B98" s="554" t="str">
        <f t="shared" ca="1" si="1"/>
        <v>Begrenzt besteuerte
Grenzgänger aus
Frankreich mit
Besteuerung durch
Frankreich</v>
      </c>
      <c r="C98" s="542" t="s">
        <v>114</v>
      </c>
      <c r="D98" s="1" t="s">
        <v>343</v>
      </c>
      <c r="E98" s="1" t="s">
        <v>371</v>
      </c>
      <c r="F98" s="1" t="s">
        <v>414</v>
      </c>
      <c r="G98" s="1" t="s">
        <v>446</v>
      </c>
      <c r="H98" s="1" t="s">
        <v>114</v>
      </c>
    </row>
    <row r="99" spans="2:8" x14ac:dyDescent="0.25">
      <c r="B99" s="554" t="str">
        <f t="shared" ca="1" si="1"/>
        <v>Begrenzt
besteuerte
Grenzgänger
aus Italien</v>
      </c>
      <c r="C99" s="542" t="s">
        <v>114</v>
      </c>
      <c r="D99" s="1" t="s">
        <v>344</v>
      </c>
      <c r="E99" s="1" t="s">
        <v>372</v>
      </c>
      <c r="F99" s="1" t="s">
        <v>415</v>
      </c>
      <c r="G99" s="1" t="s">
        <v>448</v>
      </c>
      <c r="H99" s="1" t="s">
        <v>114</v>
      </c>
    </row>
    <row r="100" spans="2:8" x14ac:dyDescent="0.25">
      <c r="B100" s="554" t="str">
        <f t="shared" ca="1" si="1"/>
        <v>Total</v>
      </c>
      <c r="C100" s="542" t="s">
        <v>114</v>
      </c>
      <c r="D100" s="1" t="s">
        <v>28</v>
      </c>
      <c r="E100" s="1" t="s">
        <v>28</v>
      </c>
      <c r="F100" s="1" t="s">
        <v>310</v>
      </c>
      <c r="G100" s="1" t="s">
        <v>28</v>
      </c>
      <c r="H100" s="1" t="s">
        <v>114</v>
      </c>
    </row>
    <row r="101" spans="2:8" x14ac:dyDescent="0.25">
      <c r="B101" s="554" t="str">
        <f t="shared" ca="1" si="1"/>
        <v>Standardisierter Steuersatz SST(2023)</v>
      </c>
      <c r="C101" s="542" t="s">
        <v>114</v>
      </c>
      <c r="D101" s="1" t="str">
        <f>"Standardisierter Steuersatz SST(" &amp; $G$3-3 &amp; ")"</f>
        <v>Standardisierter Steuersatz SST(2023)</v>
      </c>
      <c r="E101" s="1" t="str">
        <f>"Taux fiscal standardisé TFS(" &amp; $G$3-3 &amp; ")"</f>
        <v>Taux fiscal standardisé TFS(2023)</v>
      </c>
      <c r="F101" s="1" t="str">
        <f>"Aliquota d'imposta standardizzata AIS(" &amp; $G$3-3 &amp; ")"</f>
        <v>Aliquota d'imposta standardizzata AIS(2023)</v>
      </c>
      <c r="G101" s="1" t="str">
        <f>"Standardized tax rate STRate(" &amp; $G$3-3 &amp; ")"</f>
        <v>Standardized tax rate STRate(2023)</v>
      </c>
      <c r="H101" s="1" t="s">
        <v>114</v>
      </c>
    </row>
    <row r="102" spans="2:8" x14ac:dyDescent="0.25">
      <c r="B102" s="554" t="str">
        <f t="shared" ca="1" si="1"/>
        <v>Standardisierter Steuersatz SST(2024)</v>
      </c>
      <c r="C102" s="542" t="s">
        <v>114</v>
      </c>
      <c r="D102" s="1" t="str">
        <f>"Standardisierter Steuersatz SST(" &amp; $G$3-2 &amp; ")"</f>
        <v>Standardisierter Steuersatz SST(2024)</v>
      </c>
      <c r="E102" s="1" t="str">
        <f>"Taux fiscal standardisé TFS(" &amp; $G$3-2 &amp; ")"</f>
        <v>Taux fiscal standardisé TFS(2024)</v>
      </c>
      <c r="F102" s="1" t="str">
        <f>"Aliquota d'imposta standardizzata AIS(" &amp; $G$3-2 &amp; ")"</f>
        <v>Aliquota d'imposta standardizzata AIS(2024)</v>
      </c>
      <c r="G102" s="1" t="str">
        <f>"Standardized tax rate STRate(" &amp; $G$3-2 &amp; ")"</f>
        <v>Standardized tax rate STRate(2024)</v>
      </c>
      <c r="H102" s="1" t="s">
        <v>114</v>
      </c>
    </row>
    <row r="103" spans="2:8" x14ac:dyDescent="0.25">
      <c r="B103" s="554" t="str">
        <f t="shared" ca="1" si="1"/>
        <v>Standardisierter Steuersatz SST(2025)</v>
      </c>
      <c r="C103" s="542" t="s">
        <v>114</v>
      </c>
      <c r="D103" s="1" t="str">
        <f>"Standardisierter Steuersatz SST(" &amp; $G$3-1 &amp; ")"</f>
        <v>Standardisierter Steuersatz SST(2025)</v>
      </c>
      <c r="E103" s="1" t="str">
        <f>"Taux fiscal standardisé TFS(" &amp; $G$3-1 &amp; ")"</f>
        <v>Taux fiscal standardisé TFS(2025)</v>
      </c>
      <c r="F103" s="1" t="str">
        <f>"Aliquota d'imposta standardizzata AIS(" &amp; $G$3-1 &amp; ")"</f>
        <v>Aliquota d'imposta standardizzata AIS(2025)</v>
      </c>
      <c r="G103" s="1" t="str">
        <f>"Standardized tax rate STRate(" &amp; $G$3-1 &amp; ")"</f>
        <v>Standardized tax rate STRate(2025)</v>
      </c>
      <c r="H103" s="1" t="s">
        <v>114</v>
      </c>
    </row>
    <row r="104" spans="2:8" x14ac:dyDescent="0.25">
      <c r="B104" s="554" t="str">
        <f t="shared" ca="1" si="1"/>
        <v>Faktor Delta 2020</v>
      </c>
      <c r="C104" s="542" t="s">
        <v>114</v>
      </c>
      <c r="D104" s="1" t="str">
        <f>"Faktor Delta " &amp; $G$3-6</f>
        <v>Faktor Delta 2020</v>
      </c>
      <c r="E104" s="1" t="str">
        <f>"Facteur delta " &amp; $G$3-6</f>
        <v>Facteur delta 2020</v>
      </c>
      <c r="F104" s="1" t="str">
        <f>"Fattore delta " &amp; $G$3-6</f>
        <v>Fattore delta 2020</v>
      </c>
      <c r="G104" s="1" t="str">
        <f>"Delta factor " &amp; $G$3-6</f>
        <v>Delta factor 2020</v>
      </c>
      <c r="H104" s="1" t="s">
        <v>114</v>
      </c>
    </row>
    <row r="105" spans="2:8" x14ac:dyDescent="0.25">
      <c r="B105" s="554" t="str">
        <f t="shared" ca="1" si="1"/>
        <v>Faktor Delta 2021</v>
      </c>
      <c r="C105" s="542" t="s">
        <v>114</v>
      </c>
      <c r="D105" s="1" t="str">
        <f>"Faktor Delta " &amp; $G$3-5</f>
        <v>Faktor Delta 2021</v>
      </c>
      <c r="E105" s="1" t="str">
        <f>"Facteur delta " &amp; $G$3-5</f>
        <v>Facteur delta 2021</v>
      </c>
      <c r="F105" s="1" t="str">
        <f>"Fattore delta " &amp; $G$3-5</f>
        <v>Fattore delta 2021</v>
      </c>
      <c r="G105" s="1" t="str">
        <f>"Delta factor " &amp; $G$3-5</f>
        <v>Delta factor 2021</v>
      </c>
      <c r="H105" s="1" t="s">
        <v>114</v>
      </c>
    </row>
    <row r="106" spans="2:8" x14ac:dyDescent="0.25">
      <c r="B106" s="554" t="str">
        <f t="shared" ca="1" si="1"/>
        <v>Faktor Delta 2022</v>
      </c>
      <c r="C106" s="542" t="s">
        <v>114</v>
      </c>
      <c r="D106" s="1" t="str">
        <f>"Faktor Delta " &amp; $G$3-4</f>
        <v>Faktor Delta 2022</v>
      </c>
      <c r="E106" s="1" t="str">
        <f>"Facteur delta " &amp; $G$3-4</f>
        <v>Facteur delta 2022</v>
      </c>
      <c r="F106" s="1" t="str">
        <f>"Fattore delta " &amp; $G$3-4</f>
        <v>Fattore delta 2022</v>
      </c>
      <c r="G106" s="1" t="str">
        <f>"Delta factor " &amp; $G$3-4</f>
        <v>Delta factor 2022</v>
      </c>
      <c r="H106" s="1" t="s">
        <v>114</v>
      </c>
    </row>
    <row r="107" spans="2:8" x14ac:dyDescent="0.25">
      <c r="B107" s="554" t="str">
        <f t="shared" ca="1" si="1"/>
        <v>Faktor Gamma 2020 (γ)</v>
      </c>
      <c r="C107" s="542" t="s">
        <v>114</v>
      </c>
      <c r="D107" s="1" t="str">
        <f>"Faktor Gamma " &amp; $G$3-6 &amp; " (γ)"</f>
        <v>Faktor Gamma 2020 (γ)</v>
      </c>
      <c r="E107" s="1" t="str">
        <f>"Facteur gamma " &amp; G$3-6 &amp; " (γ)"</f>
        <v>Facteur gamma 2020 (γ)</v>
      </c>
      <c r="F107" s="1" t="str">
        <f>"Fattore gamma " &amp; G$3-6 &amp; " (γ)"</f>
        <v>Fattore gamma 2020 (γ)</v>
      </c>
      <c r="G107" s="1" t="str">
        <f>"Gamma factor " &amp; $G$3-6 &amp; " (γ)"</f>
        <v>Gamma factor 2020 (γ)</v>
      </c>
      <c r="H107" s="1" t="s">
        <v>114</v>
      </c>
    </row>
    <row r="108" spans="2:8" x14ac:dyDescent="0.25">
      <c r="B108" s="554" t="str">
        <f t="shared" ca="1" si="1"/>
        <v>Faktor Gamma 2021 (γ)</v>
      </c>
      <c r="C108" s="542" t="s">
        <v>114</v>
      </c>
      <c r="D108" s="1" t="str">
        <f>"Faktor Gamma " &amp; $G$3-5 &amp; " (γ)"</f>
        <v>Faktor Gamma 2021 (γ)</v>
      </c>
      <c r="E108" s="1" t="str">
        <f>"Facteur gamma " &amp; G$3-5 &amp; " (γ)"</f>
        <v>Facteur gamma 2021 (γ)</v>
      </c>
      <c r="F108" s="1" t="str">
        <f>"Fattore gamma " &amp; G$3-5 &amp; " (γ)"</f>
        <v>Fattore gamma 2021 (γ)</v>
      </c>
      <c r="G108" s="1" t="str">
        <f>"Gamma factor " &amp; $G$3-5 &amp; " (γ)"</f>
        <v>Gamma factor 2021 (γ)</v>
      </c>
      <c r="H108" s="1" t="s">
        <v>114</v>
      </c>
    </row>
    <row r="109" spans="2:8" x14ac:dyDescent="0.25">
      <c r="B109" s="554" t="str">
        <f t="shared" ca="1" si="1"/>
        <v>Berechnung Faktor Gamma 2022</v>
      </c>
      <c r="C109" s="542" t="s">
        <v>114</v>
      </c>
      <c r="D109" s="1" t="str">
        <f>"Berechnung Faktor Gamma " &amp; $G$3-4</f>
        <v>Berechnung Faktor Gamma 2022</v>
      </c>
      <c r="E109" s="1" t="str">
        <f>"Calcul facteur gamma " &amp; $G$3-4</f>
        <v>Calcul facteur gamma 2022</v>
      </c>
      <c r="F109" s="1" t="str">
        <f>"Calcolo fattore gamma " &amp; $G$3-4</f>
        <v>Calcolo fattore gamma 2022</v>
      </c>
      <c r="G109" s="1" t="str">
        <f>"Gamma factor calculation " &amp; $G$3-4</f>
        <v>Gamma factor calculation 2022</v>
      </c>
      <c r="H109" s="1" t="s">
        <v>114</v>
      </c>
    </row>
    <row r="110" spans="2:8" x14ac:dyDescent="0.25">
      <c r="B110" s="554" t="str">
        <f t="shared" ca="1" si="1"/>
        <v>in CHF 1'000</v>
      </c>
      <c r="C110" s="542" t="s">
        <v>114</v>
      </c>
      <c r="D110" s="1" t="s">
        <v>39</v>
      </c>
      <c r="E110" s="1" t="s">
        <v>334</v>
      </c>
      <c r="F110" s="1" t="s">
        <v>318</v>
      </c>
      <c r="G110" s="1" t="s">
        <v>248</v>
      </c>
      <c r="H110" s="1" t="s">
        <v>114</v>
      </c>
    </row>
    <row r="111" spans="2:8" x14ac:dyDescent="0.25">
      <c r="B111" s="554" t="str">
        <f t="shared" ca="1" si="1"/>
        <v>A    Massgebendes Einkommen</v>
      </c>
      <c r="C111" s="542" t="s">
        <v>114</v>
      </c>
      <c r="D111" s="1" t="s">
        <v>737</v>
      </c>
      <c r="E111" s="1" t="s">
        <v>739</v>
      </c>
      <c r="F111" s="1" t="s">
        <v>741</v>
      </c>
      <c r="G111" s="1" t="s">
        <v>911</v>
      </c>
      <c r="H111" s="1" t="s">
        <v>114</v>
      </c>
    </row>
    <row r="112" spans="2:8" x14ac:dyDescent="0.25">
      <c r="B112" s="554" t="str">
        <f t="shared" ca="1" si="1"/>
        <v>B    Primäreinkommen der privaten Haushalte</v>
      </c>
      <c r="C112" s="542" t="s">
        <v>114</v>
      </c>
      <c r="D112" s="1" t="s">
        <v>738</v>
      </c>
      <c r="E112" s="1" t="s">
        <v>740</v>
      </c>
      <c r="F112" s="1" t="s">
        <v>742</v>
      </c>
      <c r="G112" s="1" t="s">
        <v>743</v>
      </c>
      <c r="H112" s="1" t="s">
        <v>114</v>
      </c>
    </row>
    <row r="113" spans="2:8" x14ac:dyDescent="0.25">
      <c r="B113" s="554" t="str">
        <f t="shared" ca="1" si="1"/>
        <v>C    Faktor Gamma 2022 (γ)     (A / B)</v>
      </c>
      <c r="C113" s="542" t="s">
        <v>114</v>
      </c>
      <c r="D113" s="1" t="str">
        <f>"C    Faktor Gamma " &amp; $G$3-4 &amp; " (γ)" &amp; "     (A / B)"</f>
        <v>C    Faktor Gamma 2022 (γ)     (A / B)</v>
      </c>
      <c r="E113" s="1" t="str">
        <f>"C    Facteur gamma " &amp; $G$3-4 &amp; " (γ)" &amp; "     (A / B)"</f>
        <v>C    Facteur gamma 2022 (γ)     (A / B)</v>
      </c>
      <c r="F113" s="1" t="str">
        <f>"C    Fattore gamma " &amp; $G$3-4 &amp; " (γ)" &amp; "     (A / B)"</f>
        <v>C    Fattore gamma 2022 (γ)     (A / B)</v>
      </c>
      <c r="G113" s="1" t="str">
        <f>"C    Gamma factor " &amp; $G$3-4 &amp; " (γ)" &amp; "     (A / B)"</f>
        <v>C    Gamma factor 2022 (γ)     (A / B)</v>
      </c>
      <c r="H113" s="1" t="s">
        <v>114</v>
      </c>
    </row>
    <row r="114" spans="2:8" x14ac:dyDescent="0.25">
      <c r="B114" s="554" t="str">
        <f t="shared" ca="1" si="1"/>
        <v>Formel für Gewicht</v>
      </c>
      <c r="C114" s="542" t="s">
        <v>114</v>
      </c>
      <c r="D114" s="1" t="s">
        <v>83</v>
      </c>
      <c r="E114" s="1" t="s">
        <v>210</v>
      </c>
      <c r="F114" s="1" t="s">
        <v>319</v>
      </c>
      <c r="G114" s="1" t="s">
        <v>249</v>
      </c>
      <c r="H114" s="1" t="s">
        <v>114</v>
      </c>
    </row>
    <row r="115" spans="2:8" x14ac:dyDescent="0.25">
      <c r="B115" s="554" t="str">
        <f t="shared" ca="1" si="1"/>
        <v>Gewicht (ω)</v>
      </c>
      <c r="C115" s="542" t="s">
        <v>114</v>
      </c>
      <c r="D115" s="1" t="s">
        <v>95</v>
      </c>
      <c r="E115" s="1" t="s">
        <v>211</v>
      </c>
      <c r="F115" s="1" t="s">
        <v>320</v>
      </c>
      <c r="G115" s="1" t="s">
        <v>250</v>
      </c>
      <c r="H115" s="1" t="s">
        <v>114</v>
      </c>
    </row>
    <row r="116" spans="2:8" x14ac:dyDescent="0.25">
      <c r="B116" s="554" t="str">
        <f t="shared" ca="1" si="1"/>
        <v>0.045 / SST(2023)</v>
      </c>
      <c r="C116" s="542" t="s">
        <v>114</v>
      </c>
      <c r="D116" s="1" t="str">
        <f>"0.045 / SST(" &amp; $G$3-3 &amp; ")"</f>
        <v>0.045 / SST(2023)</v>
      </c>
      <c r="E116" s="1" t="str">
        <f>"0.045 / TFS(" &amp; $G$3-3 &amp; ")"</f>
        <v>0.045 / TFS(2023)</v>
      </c>
      <c r="F116" s="1" t="str">
        <f>"0.045 / AIS(" &amp; $G$3-3 &amp; ")"</f>
        <v>0.045 / AIS(2023)</v>
      </c>
      <c r="G116" s="1" t="str">
        <f>"0.045 / STRate(" &amp; $G$3-3 &amp; ")"</f>
        <v>0.045 / STRate(2023)</v>
      </c>
      <c r="H116" s="1" t="s">
        <v>114</v>
      </c>
    </row>
    <row r="117" spans="2:8" x14ac:dyDescent="0.25">
      <c r="B117" s="554" t="str">
        <f t="shared" ca="1" si="1"/>
        <v>γ - 0.035 / SST(2023)</v>
      </c>
      <c r="C117" s="542" t="s">
        <v>114</v>
      </c>
      <c r="D117" s="1" t="str">
        <f>"γ - 0.035 / SST(" &amp; $G$3-3 &amp; ")"</f>
        <v>γ - 0.035 / SST(2023)</v>
      </c>
      <c r="E117" s="1" t="str">
        <f>"γ - 0.035 / TFS(" &amp; $G$3-3 &amp; ")"</f>
        <v>γ - 0.035 / TFS(2023)</v>
      </c>
      <c r="F117" s="1" t="str">
        <f>"γ - 0.035 / AIS(" &amp; $G$3-3 &amp; ")"</f>
        <v>γ - 0.035 / AIS(2023)</v>
      </c>
      <c r="G117" s="1" t="str">
        <f>"γ - 0.035 / STRate(" &amp; $G$3-3 &amp; ")"</f>
        <v>γ - 0.035 / STRate(2023)</v>
      </c>
      <c r="H117" s="1" t="s">
        <v>114</v>
      </c>
    </row>
    <row r="118" spans="2:8" x14ac:dyDescent="0.25">
      <c r="B118" s="554" t="str">
        <f t="shared" ca="1" si="1"/>
        <v>0.045 / SST(2024)</v>
      </c>
      <c r="C118" s="542" t="s">
        <v>114</v>
      </c>
      <c r="D118" s="1" t="str">
        <f>"0.045 / SST(" &amp; $G$3-2 &amp; ")"</f>
        <v>0.045 / SST(2024)</v>
      </c>
      <c r="E118" s="1" t="str">
        <f>"0.045 / TFS(" &amp; $G$3-2 &amp; ")"</f>
        <v>0.045 / TFS(2024)</v>
      </c>
      <c r="F118" s="1" t="str">
        <f>"0.045 / AIS(" &amp; $G$3-2 &amp; ")"</f>
        <v>0.045 / AIS(2024)</v>
      </c>
      <c r="G118" s="1" t="str">
        <f>"0.045 / STRate(" &amp; $G$3-2 &amp; ")"</f>
        <v>0.045 / STRate(2024)</v>
      </c>
      <c r="H118" s="1" t="s">
        <v>114</v>
      </c>
    </row>
    <row r="119" spans="2:8" x14ac:dyDescent="0.25">
      <c r="B119" s="554" t="str">
        <f t="shared" ca="1" si="1"/>
        <v>γ - 0.035 / SST(2024)</v>
      </c>
      <c r="C119" s="542" t="s">
        <v>114</v>
      </c>
      <c r="D119" s="1" t="str">
        <f>"γ - 0.035 / SST(" &amp; $G$3-2 &amp; ")"</f>
        <v>γ - 0.035 / SST(2024)</v>
      </c>
      <c r="E119" s="1" t="str">
        <f>"γ - 0.035 / TFS(" &amp; $G$3-2 &amp; ")"</f>
        <v>γ - 0.035 / TFS(2024)</v>
      </c>
      <c r="F119" s="1" t="str">
        <f>"γ - 0.035 / AIS(" &amp; $G$3-2 &amp; ")"</f>
        <v>γ - 0.035 / AIS(2024)</v>
      </c>
      <c r="G119" s="1" t="str">
        <f>"γ - 0.035 / STRate(" &amp; $G$3-2 &amp; ")"</f>
        <v>γ - 0.035 / STRate(2024)</v>
      </c>
      <c r="H119" s="1" t="s">
        <v>114</v>
      </c>
    </row>
    <row r="120" spans="2:8" x14ac:dyDescent="0.25">
      <c r="B120" s="554" t="str">
        <f t="shared" ca="1" si="1"/>
        <v>0.045 / SST(2025)</v>
      </c>
      <c r="C120" s="542" t="s">
        <v>114</v>
      </c>
      <c r="D120" s="1" t="str">
        <f>"0.045 / SST(" &amp; $G$3-1 &amp; ")"</f>
        <v>0.045 / SST(2025)</v>
      </c>
      <c r="E120" s="1" t="str">
        <f>"0.045 / TFS(" &amp; $G$3-1 &amp; ")"</f>
        <v>0.045 / TFS(2025)</v>
      </c>
      <c r="F120" s="1" t="str">
        <f>"0.045 / AIS(" &amp; $G$3-1 &amp; ")"</f>
        <v>0.045 / AIS(2025)</v>
      </c>
      <c r="G120" s="1" t="str">
        <f>"0.045 / STRate(" &amp; $G$3-1 &amp; ")"</f>
        <v>0.045 / STRate(2025)</v>
      </c>
      <c r="H120" s="1" t="s">
        <v>114</v>
      </c>
    </row>
    <row r="121" spans="2:8" x14ac:dyDescent="0.25">
      <c r="B121" s="554" t="str">
        <f t="shared" ca="1" si="1"/>
        <v>γ - 0.035 / SST(2025)</v>
      </c>
      <c r="C121" s="542" t="s">
        <v>114</v>
      </c>
      <c r="D121" s="1" t="str">
        <f>"γ - 0.035 / SST(" &amp; $G$3-1 &amp; ")"</f>
        <v>γ - 0.035 / SST(2025)</v>
      </c>
      <c r="E121" s="1" t="str">
        <f>"γ - 0.035 / TFS(" &amp; $G$3-1 &amp; ")"</f>
        <v>γ - 0.035 / TFS(2025)</v>
      </c>
      <c r="F121" s="1" t="str">
        <f>"γ - 0.035 / AIS(" &amp; $G$3-1 &amp; ")"</f>
        <v>γ - 0.035 / AIS(2025)</v>
      </c>
      <c r="G121" s="1" t="str">
        <f>"γ - 0.035 / STRate(" &amp; $G$3-1 &amp; ")"</f>
        <v>γ - 0.035 / STRate(2025)</v>
      </c>
      <c r="H121" s="1" t="s">
        <v>114</v>
      </c>
    </row>
    <row r="122" spans="2:8" ht="11.25" customHeight="1" x14ac:dyDescent="0.25">
      <c r="B122" s="554" t="str">
        <f t="shared" ca="1" si="1"/>
        <v>Grenzgänger
Total</v>
      </c>
      <c r="C122" s="542" t="s">
        <v>114</v>
      </c>
      <c r="D122" s="1" t="s">
        <v>171</v>
      </c>
      <c r="E122" s="1" t="s">
        <v>468</v>
      </c>
      <c r="F122" s="1" t="s">
        <v>416</v>
      </c>
      <c r="G122" s="1" t="s">
        <v>449</v>
      </c>
      <c r="H122" s="1" t="s">
        <v>114</v>
      </c>
    </row>
    <row r="123" spans="2:8" x14ac:dyDescent="0.25">
      <c r="B123" s="554" t="str">
        <f t="shared" ca="1" si="1"/>
        <v>Ergebnis auf
der Basis der
Bruttolöhne
(Grenzgänger)</v>
      </c>
      <c r="C123" s="542" t="s">
        <v>114</v>
      </c>
      <c r="D123" s="1" t="s">
        <v>345</v>
      </c>
      <c r="E123" s="1" t="s">
        <v>374</v>
      </c>
      <c r="F123" s="1" t="s">
        <v>417</v>
      </c>
      <c r="G123" s="1" t="s">
        <v>889</v>
      </c>
      <c r="H123" s="1" t="s">
        <v>114</v>
      </c>
    </row>
    <row r="124" spans="2:8" x14ac:dyDescent="0.25">
      <c r="B124" s="554" t="str">
        <f t="shared" ca="1" si="1"/>
        <v>Massgebende
quellenbesteuerte
Einkommen</v>
      </c>
      <c r="C124" s="542" t="s">
        <v>114</v>
      </c>
      <c r="D124" s="1" t="s">
        <v>346</v>
      </c>
      <c r="E124" s="1" t="s">
        <v>375</v>
      </c>
      <c r="F124" s="1" t="s">
        <v>418</v>
      </c>
      <c r="G124" s="1" t="s">
        <v>912</v>
      </c>
      <c r="H124" s="1" t="s">
        <v>114</v>
      </c>
    </row>
    <row r="125" spans="2:8" x14ac:dyDescent="0.25">
      <c r="B125" s="554" t="str">
        <f t="shared" ca="1" si="1"/>
        <v>Massgebende quellenbesteuerte Einkommen</v>
      </c>
      <c r="C125" s="542" t="s">
        <v>114</v>
      </c>
      <c r="D125" s="1" t="s">
        <v>376</v>
      </c>
      <c r="E125" s="1" t="s">
        <v>212</v>
      </c>
      <c r="F125" s="1" t="s">
        <v>321</v>
      </c>
      <c r="G125" s="1" t="s">
        <v>900</v>
      </c>
      <c r="H125" s="1" t="s">
        <v>114</v>
      </c>
    </row>
    <row r="126" spans="2:8" x14ac:dyDescent="0.25">
      <c r="B126" s="554" t="str">
        <f t="shared" ca="1" si="1"/>
        <v>C * ω</v>
      </c>
      <c r="D126" s="1" t="s">
        <v>96</v>
      </c>
      <c r="E126" s="1" t="s">
        <v>96</v>
      </c>
      <c r="F126" s="1" t="s">
        <v>96</v>
      </c>
      <c r="G126" s="1" t="s">
        <v>96</v>
      </c>
    </row>
    <row r="127" spans="2:8" x14ac:dyDescent="0.25">
      <c r="B127" s="554" t="str">
        <f t="shared" ca="1" si="1"/>
        <v>D * ω * Delta</v>
      </c>
      <c r="D127" s="1" t="s">
        <v>915</v>
      </c>
      <c r="E127" s="1" t="s">
        <v>916</v>
      </c>
      <c r="F127" s="1" t="s">
        <v>916</v>
      </c>
      <c r="G127" s="1" t="s">
        <v>916</v>
      </c>
    </row>
    <row r="128" spans="2:8" x14ac:dyDescent="0.25">
      <c r="B128" s="554" t="str">
        <f t="shared" ca="1" si="1"/>
        <v>E * ω * Delta</v>
      </c>
      <c r="D128" s="1" t="s">
        <v>917</v>
      </c>
      <c r="E128" s="1" t="s">
        <v>918</v>
      </c>
      <c r="F128" s="1" t="s">
        <v>918</v>
      </c>
      <c r="G128" s="1" t="s">
        <v>918</v>
      </c>
    </row>
    <row r="129" spans="2:8" x14ac:dyDescent="0.25">
      <c r="B129" s="554" t="str">
        <f t="shared" ca="1" si="1"/>
        <v>F * ω * Delta</v>
      </c>
      <c r="D129" s="1" t="s">
        <v>919</v>
      </c>
      <c r="E129" s="1" t="s">
        <v>920</v>
      </c>
      <c r="F129" s="1" t="s">
        <v>920</v>
      </c>
      <c r="G129" s="1" t="s">
        <v>920</v>
      </c>
    </row>
    <row r="130" spans="2:8" x14ac:dyDescent="0.25">
      <c r="B130" s="554" t="str">
        <f t="shared" ca="1" si="1"/>
        <v>G * ω * Delta</v>
      </c>
      <c r="D130" s="1" t="s">
        <v>921</v>
      </c>
      <c r="E130" s="1" t="s">
        <v>922</v>
      </c>
      <c r="F130" s="1" t="s">
        <v>922</v>
      </c>
      <c r="G130" s="1" t="s">
        <v>922</v>
      </c>
    </row>
    <row r="131" spans="2:8" x14ac:dyDescent="0.25">
      <c r="B131" s="554" t="str">
        <f t="shared" ca="1" si="1"/>
        <v>H * ω * Delta</v>
      </c>
      <c r="D131" s="1" t="s">
        <v>923</v>
      </c>
      <c r="E131" s="1" t="s">
        <v>924</v>
      </c>
      <c r="F131" s="1" t="s">
        <v>924</v>
      </c>
      <c r="G131" s="1" t="s">
        <v>924</v>
      </c>
    </row>
    <row r="132" spans="2:8" x14ac:dyDescent="0.25">
      <c r="B132" s="554" t="str">
        <f t="shared" ca="1" si="1"/>
        <v>I * ω * Delta</v>
      </c>
      <c r="D132" s="1" t="s">
        <v>925</v>
      </c>
      <c r="E132" s="1" t="s">
        <v>926</v>
      </c>
      <c r="F132" s="1" t="s">
        <v>926</v>
      </c>
      <c r="G132" s="1" t="s">
        <v>926</v>
      </c>
    </row>
    <row r="133" spans="2:8" x14ac:dyDescent="0.25">
      <c r="B133" s="554" t="str">
        <f t="shared" ca="1" si="1"/>
        <v>Q+R+S+T+U+V+W</v>
      </c>
      <c r="D133" s="1" t="s">
        <v>927</v>
      </c>
      <c r="E133" s="1" t="s">
        <v>927</v>
      </c>
      <c r="F133" s="1" t="s">
        <v>927</v>
      </c>
      <c r="G133" s="1" t="s">
        <v>927</v>
      </c>
      <c r="H133" s="1" t="s">
        <v>114</v>
      </c>
    </row>
    <row r="134" spans="2:8" x14ac:dyDescent="0.25">
      <c r="B134" s="557" t="str">
        <f t="shared" ca="1" si="1"/>
        <v>Vermögen natürlicher Personen 2026</v>
      </c>
      <c r="C134" s="542" t="s">
        <v>151</v>
      </c>
      <c r="D134" s="563" t="str">
        <f>"Vermögen natürlicher Personen " &amp; $G$3</f>
        <v>Vermögen natürlicher Personen 2026</v>
      </c>
      <c r="E134" s="563" t="str">
        <f>"Fortune des personnes physiques " &amp; $G$3</f>
        <v>Fortune des personnes physiques 2026</v>
      </c>
      <c r="F134" s="563" t="str">
        <f>"Sostanza delle persone fisiche " &amp; $G$3</f>
        <v>Sostanza delle persone fisiche 2026</v>
      </c>
      <c r="G134" s="563" t="str">
        <f>"Wealth " &amp; $G$3</f>
        <v>Wealth 2026</v>
      </c>
      <c r="H134" s="563" t="s">
        <v>114</v>
      </c>
    </row>
    <row r="135" spans="2:8" x14ac:dyDescent="0.25">
      <c r="B135" s="554" t="str">
        <f t="shared" ca="1" si="1"/>
        <v>Reinvermögen</v>
      </c>
      <c r="C135" s="542" t="s">
        <v>114</v>
      </c>
      <c r="D135" s="1" t="s">
        <v>44</v>
      </c>
      <c r="E135" s="1" t="s">
        <v>213</v>
      </c>
      <c r="F135" s="1" t="s">
        <v>322</v>
      </c>
      <c r="G135" s="1" t="s">
        <v>222</v>
      </c>
      <c r="H135" s="1" t="s">
        <v>114</v>
      </c>
    </row>
    <row r="136" spans="2:8" x14ac:dyDescent="0.25">
      <c r="B136" s="554" t="str">
        <f t="shared" ca="1" si="1"/>
        <v>Massgebendes
Vermögen</v>
      </c>
      <c r="C136" s="542" t="s">
        <v>114</v>
      </c>
      <c r="D136" s="1" t="s">
        <v>347</v>
      </c>
      <c r="E136" s="1" t="s">
        <v>377</v>
      </c>
      <c r="F136" s="1" t="s">
        <v>378</v>
      </c>
      <c r="G136" s="1" t="s">
        <v>379</v>
      </c>
      <c r="H136" s="1" t="s">
        <v>114</v>
      </c>
    </row>
    <row r="137" spans="2:8" x14ac:dyDescent="0.25">
      <c r="B137" s="554" t="str">
        <f t="shared" ca="1" si="1"/>
        <v>Alpha</v>
      </c>
      <c r="C137" s="542" t="s">
        <v>114</v>
      </c>
      <c r="D137" s="1" t="s">
        <v>479</v>
      </c>
      <c r="E137" s="1" t="s">
        <v>480</v>
      </c>
      <c r="F137" s="1" t="s">
        <v>481</v>
      </c>
      <c r="G137" s="1" t="s">
        <v>480</v>
      </c>
      <c r="H137" s="1" t="s">
        <v>114</v>
      </c>
    </row>
    <row r="138" spans="2:8" x14ac:dyDescent="0.25">
      <c r="B138" s="554" t="str">
        <f t="shared" ca="1" si="1"/>
        <v>Alpha</v>
      </c>
      <c r="C138" s="542" t="s">
        <v>114</v>
      </c>
      <c r="D138" s="1" t="s">
        <v>479</v>
      </c>
      <c r="E138" s="1" t="s">
        <v>479</v>
      </c>
      <c r="F138" s="1" t="s">
        <v>626</v>
      </c>
      <c r="G138" s="1" t="s">
        <v>479</v>
      </c>
      <c r="H138" s="1" t="s">
        <v>114</v>
      </c>
    </row>
    <row r="139" spans="2:8" x14ac:dyDescent="0.25">
      <c r="B139" s="557" t="str">
        <f t="shared" ref="B139:B183" ca="1" si="2">INDIRECT(ADDRESS(ROW(),$D$7+3))</f>
        <v>Gewinne juristischer Personen 2026</v>
      </c>
      <c r="C139" s="542" t="s">
        <v>152</v>
      </c>
      <c r="D139" s="563" t="str">
        <f>"Gewinne juristischer Personen " &amp; $G$3</f>
        <v>Gewinne juristischer Personen 2026</v>
      </c>
      <c r="E139" s="563" t="str">
        <f>"Bénéfice des personnes morales " &amp; $G$3</f>
        <v>Bénéfice des personnes morales 2026</v>
      </c>
      <c r="F139" s="563" t="str">
        <f>"Utili delle persone giuridiche " &amp; $G$3</f>
        <v>Utili delle persone giuridiche 2026</v>
      </c>
      <c r="G139" s="563" t="str">
        <f>"Profit of legal entities " &amp; $G$3</f>
        <v>Profit of legal entities 2026</v>
      </c>
      <c r="H139" s="563" t="s">
        <v>114</v>
      </c>
    </row>
    <row r="140" spans="2:8" x14ac:dyDescent="0.25">
      <c r="B140" s="554" t="str">
        <f t="shared" ca="1" si="2"/>
        <v>Massgebender Gewinn ehemaliger Statusgesellschaften</v>
      </c>
      <c r="C140" s="542" t="s">
        <v>114</v>
      </c>
      <c r="D140" s="1" t="s">
        <v>721</v>
      </c>
      <c r="E140" s="1" t="s">
        <v>840</v>
      </c>
      <c r="F140" s="1" t="s">
        <v>791</v>
      </c>
      <c r="G140" s="1" t="s">
        <v>784</v>
      </c>
      <c r="H140" s="1" t="s">
        <v>114</v>
      </c>
    </row>
    <row r="141" spans="2:8" x14ac:dyDescent="0.25">
      <c r="B141" s="554" t="str">
        <f t="shared" ca="1" si="2"/>
        <v xml:space="preserve">Massgebender
Gewinn übriger
Unternehmen
</v>
      </c>
      <c r="C141" s="542" t="s">
        <v>114</v>
      </c>
      <c r="D141" s="1" t="s">
        <v>723</v>
      </c>
      <c r="E141" s="1" t="s">
        <v>879</v>
      </c>
      <c r="F141" s="1" t="s">
        <v>804</v>
      </c>
      <c r="G141" s="1" t="s">
        <v>802</v>
      </c>
      <c r="H141" s="1" t="s">
        <v>114</v>
      </c>
    </row>
    <row r="142" spans="2:8" x14ac:dyDescent="0.25">
      <c r="B142" s="554" t="str">
        <f t="shared" ca="1" si="2"/>
        <v xml:space="preserve">        Betagewichtet</v>
      </c>
      <c r="C142" s="542" t="s">
        <v>114</v>
      </c>
      <c r="D142" s="1" t="s">
        <v>890</v>
      </c>
      <c r="E142" s="1" t="s">
        <v>841</v>
      </c>
      <c r="F142" s="1" t="s">
        <v>792</v>
      </c>
      <c r="G142" s="1" t="s">
        <v>892</v>
      </c>
      <c r="H142" s="1" t="s">
        <v>114</v>
      </c>
    </row>
    <row r="143" spans="2:8" x14ac:dyDescent="0.25">
      <c r="B143" s="554" t="str">
        <f t="shared" ca="1" si="2"/>
        <v xml:space="preserve">        Zetagewichtet</v>
      </c>
      <c r="C143" s="542" t="s">
        <v>114</v>
      </c>
      <c r="D143" s="1" t="s">
        <v>891</v>
      </c>
      <c r="E143" s="1" t="s">
        <v>842</v>
      </c>
      <c r="F143" s="1" t="s">
        <v>793</v>
      </c>
      <c r="G143" s="1" t="s">
        <v>893</v>
      </c>
      <c r="H143" s="1" t="s">
        <v>114</v>
      </c>
    </row>
    <row r="144" spans="2:8" x14ac:dyDescent="0.25">
      <c r="B144" s="554" t="str">
        <f t="shared" ca="1" si="2"/>
        <v>Massgebender
Gewinn</v>
      </c>
      <c r="C144" s="542" t="s">
        <v>114</v>
      </c>
      <c r="D144" s="1" t="s">
        <v>631</v>
      </c>
      <c r="E144" s="1" t="s">
        <v>720</v>
      </c>
      <c r="F144" s="1" t="s">
        <v>692</v>
      </c>
      <c r="G144" s="1" t="s">
        <v>693</v>
      </c>
      <c r="H144" s="1" t="s">
        <v>114</v>
      </c>
    </row>
    <row r="145" spans="2:8" x14ac:dyDescent="0.25">
      <c r="B145" s="554" t="str">
        <f t="shared" ca="1" si="2"/>
        <v>Massgebender
Gewinn
juristischer
Personen</v>
      </c>
      <c r="C145" s="542" t="s">
        <v>114</v>
      </c>
      <c r="D145" s="1" t="s">
        <v>724</v>
      </c>
      <c r="E145" s="1" t="s">
        <v>383</v>
      </c>
      <c r="F145" s="1" t="s">
        <v>423</v>
      </c>
      <c r="G145" s="1" t="s">
        <v>803</v>
      </c>
      <c r="H145" s="1" t="s">
        <v>114</v>
      </c>
    </row>
    <row r="146" spans="2:8" x14ac:dyDescent="0.25">
      <c r="B146" s="554" t="str">
        <f t="shared" ca="1" si="2"/>
        <v>vor
Umbuchung</v>
      </c>
      <c r="C146" s="542" t="s">
        <v>114</v>
      </c>
      <c r="D146" s="1" t="s">
        <v>880</v>
      </c>
      <c r="E146" s="1" t="s">
        <v>882</v>
      </c>
      <c r="F146" s="1" t="s">
        <v>884</v>
      </c>
      <c r="G146" s="1" t="s">
        <v>886</v>
      </c>
      <c r="H146" s="1" t="s">
        <v>114</v>
      </c>
    </row>
    <row r="147" spans="2:8" x14ac:dyDescent="0.25">
      <c r="B147" s="554" t="str">
        <f t="shared" ca="1" si="2"/>
        <v>nach
Umbuchung</v>
      </c>
      <c r="C147" s="542" t="s">
        <v>114</v>
      </c>
      <c r="D147" s="1" t="s">
        <v>881</v>
      </c>
      <c r="E147" s="1" t="s">
        <v>883</v>
      </c>
      <c r="F147" s="1" t="s">
        <v>885</v>
      </c>
      <c r="G147" s="1" t="s">
        <v>887</v>
      </c>
      <c r="H147" s="1" t="s">
        <v>114</v>
      </c>
    </row>
    <row r="148" spans="2:8" x14ac:dyDescent="0.25">
      <c r="B148" s="554" t="str">
        <f t="shared" ca="1" si="2"/>
        <v>Beta-Faktoren
Zeta-Faktoren
Umbuchungsfaktor</v>
      </c>
      <c r="C148" s="542" t="s">
        <v>114</v>
      </c>
      <c r="D148" s="1" t="s">
        <v>702</v>
      </c>
      <c r="E148" s="1" t="s">
        <v>843</v>
      </c>
      <c r="F148" s="1" t="s">
        <v>794</v>
      </c>
      <c r="G148" s="1" t="s">
        <v>787</v>
      </c>
      <c r="H148" s="1" t="s">
        <v>114</v>
      </c>
    </row>
    <row r="149" spans="2:8" x14ac:dyDescent="0.25">
      <c r="B149" s="554" t="str">
        <f t="shared" ca="1" si="2"/>
        <v>Zeta</v>
      </c>
      <c r="C149" s="542" t="s">
        <v>114</v>
      </c>
      <c r="D149" s="1" t="s">
        <v>634</v>
      </c>
      <c r="E149" s="1" t="s">
        <v>674</v>
      </c>
      <c r="F149" s="1" t="s">
        <v>634</v>
      </c>
      <c r="G149" s="1" t="s">
        <v>634</v>
      </c>
      <c r="H149" s="1" t="s">
        <v>114</v>
      </c>
    </row>
    <row r="150" spans="2:8" x14ac:dyDescent="0.25">
      <c r="B150" s="554" t="str">
        <f t="shared" ca="1" si="2"/>
        <v>Zeta-1</v>
      </c>
      <c r="C150" s="542" t="s">
        <v>114</v>
      </c>
      <c r="D150" s="1" t="s">
        <v>632</v>
      </c>
      <c r="E150" s="1" t="s">
        <v>675</v>
      </c>
      <c r="F150" s="1" t="s">
        <v>632</v>
      </c>
      <c r="G150" s="1" t="s">
        <v>632</v>
      </c>
      <c r="H150" s="1" t="s">
        <v>114</v>
      </c>
    </row>
    <row r="151" spans="2:8" x14ac:dyDescent="0.25">
      <c r="B151" s="554" t="str">
        <f t="shared" ca="1" si="2"/>
        <v>Zeta-2</v>
      </c>
      <c r="C151" s="542" t="s">
        <v>114</v>
      </c>
      <c r="D151" s="1" t="s">
        <v>633</v>
      </c>
      <c r="E151" s="1" t="s">
        <v>676</v>
      </c>
      <c r="F151" s="1" t="s">
        <v>633</v>
      </c>
      <c r="G151" s="1" t="s">
        <v>633</v>
      </c>
      <c r="H151" s="1" t="s">
        <v>114</v>
      </c>
    </row>
    <row r="152" spans="2:8" x14ac:dyDescent="0.25">
      <c r="B152" s="554" t="str">
        <f t="shared" ca="1" si="2"/>
        <v>Beta</v>
      </c>
      <c r="C152" s="542" t="s">
        <v>114</v>
      </c>
      <c r="D152" s="1" t="s">
        <v>635</v>
      </c>
      <c r="E152" s="1" t="s">
        <v>673</v>
      </c>
      <c r="F152" s="1" t="s">
        <v>635</v>
      </c>
      <c r="G152" s="1" t="s">
        <v>635</v>
      </c>
      <c r="H152" s="1" t="s">
        <v>114</v>
      </c>
    </row>
    <row r="153" spans="2:8" x14ac:dyDescent="0.25">
      <c r="B153" s="554" t="str">
        <f t="shared" ca="1" si="2"/>
        <v>Holdinggesellschaften</v>
      </c>
      <c r="C153" s="542" t="s">
        <v>114</v>
      </c>
      <c r="D153" s="1" t="s">
        <v>77</v>
      </c>
      <c r="E153" s="1" t="s">
        <v>214</v>
      </c>
      <c r="F153" s="1" t="s">
        <v>323</v>
      </c>
      <c r="G153" s="1" t="s">
        <v>251</v>
      </c>
      <c r="H153" s="1" t="s">
        <v>114</v>
      </c>
    </row>
    <row r="154" spans="2:8" x14ac:dyDescent="0.25">
      <c r="B154" s="554" t="str">
        <f t="shared" ca="1" si="2"/>
        <v>Domizilgesellschaften</v>
      </c>
      <c r="C154" s="542" t="s">
        <v>114</v>
      </c>
      <c r="D154" s="1" t="s">
        <v>78</v>
      </c>
      <c r="E154" s="1" t="s">
        <v>215</v>
      </c>
      <c r="F154" s="1" t="s">
        <v>324</v>
      </c>
      <c r="G154" s="1" t="s">
        <v>252</v>
      </c>
      <c r="H154" s="1" t="s">
        <v>114</v>
      </c>
    </row>
    <row r="155" spans="2:8" x14ac:dyDescent="0.25">
      <c r="B155" s="554" t="str">
        <f t="shared" ca="1" si="2"/>
        <v>Gemischte Gesellschaften</v>
      </c>
      <c r="C155" s="542" t="s">
        <v>114</v>
      </c>
      <c r="D155" s="1" t="s">
        <v>79</v>
      </c>
      <c r="E155" s="1" t="s">
        <v>216</v>
      </c>
      <c r="F155" s="1" t="s">
        <v>325</v>
      </c>
      <c r="G155" s="1" t="s">
        <v>253</v>
      </c>
      <c r="H155" s="1" t="s">
        <v>114</v>
      </c>
    </row>
    <row r="156" spans="2:8" x14ac:dyDescent="0.25">
      <c r="B156" s="554" t="str">
        <f t="shared" ca="1" si="2"/>
        <v xml:space="preserve">Umbuchung ehemalige </v>
      </c>
      <c r="C156" s="542" t="s">
        <v>114</v>
      </c>
      <c r="D156" s="1" t="s">
        <v>719</v>
      </c>
      <c r="E156" s="1" t="s">
        <v>870</v>
      </c>
      <c r="F156" s="1" t="s">
        <v>800</v>
      </c>
      <c r="G156" s="1" t="s">
        <v>785</v>
      </c>
      <c r="H156" s="1" t="s">
        <v>114</v>
      </c>
    </row>
    <row r="157" spans="2:8" x14ac:dyDescent="0.25">
      <c r="B157" s="554" t="str">
        <f t="shared" ca="1" si="2"/>
        <v>Statusgesellschaften</v>
      </c>
      <c r="C157" s="542" t="s">
        <v>114</v>
      </c>
      <c r="D157" s="1" t="s">
        <v>718</v>
      </c>
      <c r="E157" s="1" t="s">
        <v>871</v>
      </c>
      <c r="F157" s="1" t="s">
        <v>801</v>
      </c>
      <c r="G157" s="1" t="s">
        <v>786</v>
      </c>
      <c r="H157" s="1" t="s">
        <v>114</v>
      </c>
    </row>
    <row r="158" spans="2:8" x14ac:dyDescent="0.25">
      <c r="B158" s="554" t="str">
        <f t="shared" ca="1" si="2"/>
        <v>Zetagewichtet (UF)</v>
      </c>
      <c r="C158" s="542" t="s">
        <v>114</v>
      </c>
      <c r="D158" s="1" t="s">
        <v>731</v>
      </c>
      <c r="E158" s="1" t="s">
        <v>913</v>
      </c>
      <c r="F158" s="1" t="s">
        <v>795</v>
      </c>
      <c r="G158" s="1" t="s">
        <v>797</v>
      </c>
      <c r="H158" s="1" t="s">
        <v>114</v>
      </c>
    </row>
    <row r="159" spans="2:8" x14ac:dyDescent="0.25">
      <c r="B159" s="555" t="str">
        <f t="shared" ca="1" si="2"/>
        <v>Betagewichtet (1-UF)</v>
      </c>
      <c r="C159" s="542" t="s">
        <v>114</v>
      </c>
      <c r="D159" s="1" t="s">
        <v>732</v>
      </c>
      <c r="E159" s="1" t="s">
        <v>914</v>
      </c>
      <c r="F159" s="1" t="s">
        <v>796</v>
      </c>
      <c r="G159" s="1" t="s">
        <v>798</v>
      </c>
      <c r="H159" s="1" t="s">
        <v>114</v>
      </c>
    </row>
    <row r="160" spans="2:8" x14ac:dyDescent="0.25">
      <c r="B160" s="556" t="str">
        <f t="shared" ca="1" si="2"/>
        <v>Steuerrepartitionen 2026</v>
      </c>
      <c r="C160" s="542" t="s">
        <v>153</v>
      </c>
      <c r="D160" s="563" t="str">
        <f>"Steuerrepartitionen " &amp; $G$3</f>
        <v>Steuerrepartitionen 2026</v>
      </c>
      <c r="E160" s="563" t="str">
        <f>"Répartitions fiscales " &amp; $G$3</f>
        <v>Répartitions fiscales 2026</v>
      </c>
      <c r="F160" s="563" t="str">
        <f>"Riparti fiscali " &amp; $G$3</f>
        <v>Riparti fiscali 2026</v>
      </c>
      <c r="G160" s="563" t="str">
        <f>"Tax repartitions " &amp; $G$3</f>
        <v>Tax repartitions 2026</v>
      </c>
      <c r="H160" s="563" t="s">
        <v>114</v>
      </c>
    </row>
    <row r="161" spans="2:8" x14ac:dyDescent="0.25">
      <c r="B161" s="554" t="str">
        <f t="shared" ca="1" si="2"/>
        <v>Zu Gunsten
anderer
Kantone</v>
      </c>
      <c r="C161" s="542" t="s">
        <v>114</v>
      </c>
      <c r="D161" s="1" t="s">
        <v>46</v>
      </c>
      <c r="E161" s="1" t="s">
        <v>380</v>
      </c>
      <c r="F161" s="1" t="s">
        <v>419</v>
      </c>
      <c r="G161" s="1" t="s">
        <v>363</v>
      </c>
      <c r="H161" s="1" t="s">
        <v>114</v>
      </c>
    </row>
    <row r="162" spans="2:8" x14ac:dyDescent="0.25">
      <c r="B162" s="554" t="str">
        <f t="shared" ca="1" si="2"/>
        <v>Erhalten von
anderen
Kantonen</v>
      </c>
      <c r="C162" s="542" t="s">
        <v>114</v>
      </c>
      <c r="D162" s="1" t="s">
        <v>45</v>
      </c>
      <c r="E162" s="1" t="s">
        <v>381</v>
      </c>
      <c r="F162" s="1" t="s">
        <v>420</v>
      </c>
      <c r="G162" s="1" t="s">
        <v>364</v>
      </c>
      <c r="H162" s="1" t="s">
        <v>114</v>
      </c>
    </row>
    <row r="163" spans="2:8" ht="11.25" customHeight="1" x14ac:dyDescent="0.25">
      <c r="B163" s="554" t="str">
        <f t="shared" ca="1" si="2"/>
        <v>Gewichtungsfaktoren</v>
      </c>
      <c r="D163" s="1" t="s">
        <v>965</v>
      </c>
      <c r="E163" s="1" t="s">
        <v>966</v>
      </c>
      <c r="F163" s="1" t="s">
        <v>967</v>
      </c>
      <c r="G163" s="1" t="s">
        <v>968</v>
      </c>
    </row>
    <row r="164" spans="2:8" ht="11.25" customHeight="1" x14ac:dyDescent="0.25">
      <c r="B164" s="554" t="str">
        <f t="shared" ca="1" si="2"/>
        <v>Kantonsanteil DBSt</v>
      </c>
      <c r="D164" s="1" t="s">
        <v>931</v>
      </c>
      <c r="E164" s="1" t="s">
        <v>709</v>
      </c>
      <c r="F164" s="1" t="s">
        <v>543</v>
      </c>
      <c r="G164" s="1" t="s">
        <v>544</v>
      </c>
    </row>
    <row r="165" spans="2:8" x14ac:dyDescent="0.25">
      <c r="B165" s="554" t="str">
        <f t="shared" ca="1" si="2"/>
        <v>Natürliche Personen</v>
      </c>
      <c r="C165" s="542" t="s">
        <v>114</v>
      </c>
      <c r="D165" s="1" t="s">
        <v>932</v>
      </c>
      <c r="E165" s="1" t="s">
        <v>933</v>
      </c>
      <c r="F165" s="1" t="s">
        <v>934</v>
      </c>
      <c r="G165" s="558" t="s">
        <v>969</v>
      </c>
      <c r="H165" s="1" t="s">
        <v>114</v>
      </c>
    </row>
    <row r="166" spans="2:8" ht="11.25" customHeight="1" x14ac:dyDescent="0.25">
      <c r="B166" s="554" t="str">
        <f t="shared" ca="1" si="2"/>
        <v>Steueraufkommen DBSt</v>
      </c>
      <c r="D166" s="1" t="s">
        <v>935</v>
      </c>
      <c r="E166" s="1" t="s">
        <v>936</v>
      </c>
      <c r="F166" s="1" t="s">
        <v>799</v>
      </c>
      <c r="G166" s="1" t="s">
        <v>937</v>
      </c>
    </row>
    <row r="167" spans="2:8" ht="11.25" customHeight="1" x14ac:dyDescent="0.25">
      <c r="B167" s="554" t="str">
        <f t="shared" ca="1" si="2"/>
        <v>Massgebendes Einkommen</v>
      </c>
      <c r="D167" s="1" t="s">
        <v>938</v>
      </c>
      <c r="E167" s="1" t="s">
        <v>862</v>
      </c>
      <c r="F167" s="1" t="s">
        <v>831</v>
      </c>
      <c r="G167" s="1" t="s">
        <v>899</v>
      </c>
    </row>
    <row r="168" spans="2:8" ht="11.25" customHeight="1" x14ac:dyDescent="0.25">
      <c r="B168" s="554" t="str">
        <f t="shared" ca="1" si="2"/>
        <v>Gewichtungsfaktor NP</v>
      </c>
      <c r="D168" s="1" t="s">
        <v>939</v>
      </c>
      <c r="E168" s="1" t="s">
        <v>940</v>
      </c>
      <c r="F168" s="1" t="s">
        <v>941</v>
      </c>
      <c r="G168" s="1" t="s">
        <v>942</v>
      </c>
    </row>
    <row r="169" spans="2:8" x14ac:dyDescent="0.25">
      <c r="B169" s="554" t="str">
        <f t="shared" ca="1" si="2"/>
        <v>Juristische Personen</v>
      </c>
      <c r="C169" s="542" t="s">
        <v>114</v>
      </c>
      <c r="D169" s="1" t="s">
        <v>943</v>
      </c>
      <c r="E169" s="1" t="s">
        <v>944</v>
      </c>
      <c r="F169" s="1" t="s">
        <v>945</v>
      </c>
      <c r="G169" s="1" t="s">
        <v>946</v>
      </c>
      <c r="H169" s="1" t="s">
        <v>114</v>
      </c>
    </row>
    <row r="170" spans="2:8" ht="11.25" customHeight="1" x14ac:dyDescent="0.25">
      <c r="B170" s="554" t="str">
        <f t="shared" ca="1" si="2"/>
        <v>Steueraufkommen DBSt</v>
      </c>
      <c r="D170" s="1" t="s">
        <v>935</v>
      </c>
      <c r="E170" s="1" t="s">
        <v>936</v>
      </c>
      <c r="F170" s="1" t="s">
        <v>799</v>
      </c>
      <c r="G170" s="1" t="s">
        <v>937</v>
      </c>
    </row>
    <row r="171" spans="2:8" ht="11.25" customHeight="1" x14ac:dyDescent="0.25">
      <c r="B171" s="554" t="str">
        <f t="shared" ca="1" si="2"/>
        <v>Massgebender Gewinn</v>
      </c>
      <c r="D171" s="1" t="s">
        <v>947</v>
      </c>
      <c r="E171" s="1" t="s">
        <v>720</v>
      </c>
      <c r="F171" s="1" t="s">
        <v>692</v>
      </c>
      <c r="G171" s="1" t="s">
        <v>693</v>
      </c>
    </row>
    <row r="172" spans="2:8" x14ac:dyDescent="0.25">
      <c r="B172" s="554" t="str">
        <f t="shared" ca="1" si="2"/>
        <v>Gewichtungsfaktor JP</v>
      </c>
      <c r="C172" s="542" t="s">
        <v>114</v>
      </c>
      <c r="D172" s="1" t="s">
        <v>948</v>
      </c>
      <c r="E172" s="1" t="s">
        <v>949</v>
      </c>
      <c r="F172" s="1" t="s">
        <v>950</v>
      </c>
      <c r="G172" s="1" t="s">
        <v>951</v>
      </c>
      <c r="H172" s="1" t="s">
        <v>114</v>
      </c>
    </row>
    <row r="173" spans="2:8" x14ac:dyDescent="0.25">
      <c r="B173" s="554" t="str">
        <f t="shared" ca="1" si="2"/>
        <v>Massgebende
Steuer-
repartitionen</v>
      </c>
      <c r="C173" s="542" t="s">
        <v>114</v>
      </c>
      <c r="D173" s="1" t="s">
        <v>351</v>
      </c>
      <c r="E173" s="1" t="s">
        <v>382</v>
      </c>
      <c r="F173" s="1" t="s">
        <v>421</v>
      </c>
      <c r="G173" s="1" t="s">
        <v>450</v>
      </c>
      <c r="H173" s="1" t="s">
        <v>114</v>
      </c>
    </row>
    <row r="174" spans="2:8" x14ac:dyDescent="0.25">
      <c r="B174" s="555" t="str">
        <f t="shared" ca="1" si="2"/>
        <v>Massgebende
Steuerrepartitionen
Total</v>
      </c>
      <c r="C174" s="542" t="s">
        <v>114</v>
      </c>
      <c r="D174" s="1" t="s">
        <v>952</v>
      </c>
      <c r="E174" s="1" t="s">
        <v>953</v>
      </c>
      <c r="F174" s="1" t="s">
        <v>954</v>
      </c>
      <c r="G174" s="1" t="s">
        <v>955</v>
      </c>
      <c r="H174" s="1" t="s">
        <v>114</v>
      </c>
    </row>
    <row r="175" spans="2:8" x14ac:dyDescent="0.25">
      <c r="B175" s="556" t="str">
        <f t="shared" ca="1" si="2"/>
        <v>Aggregierte Steuerbemessungsgrundlage (ASG) 2026</v>
      </c>
      <c r="C175" s="542" t="s">
        <v>154</v>
      </c>
      <c r="D175" s="563" t="str">
        <f>"Aggregierte Steuerbemessungsgrundlage (ASG) " &amp; $G$3</f>
        <v>Aggregierte Steuerbemessungsgrundlage (ASG) 2026</v>
      </c>
      <c r="E175" s="563" t="str">
        <f>"Assiette fiscale agrégée (AFA) " &amp; $G$3</f>
        <v>Assiette fiscale agrégée (AFA) 2026</v>
      </c>
      <c r="F175" s="563" t="str">
        <f>"Base imponibile aggregata (BIA) " &amp; $G$3</f>
        <v>Base imponibile aggregata (BIA) 2026</v>
      </c>
      <c r="G175" s="563" t="str">
        <f>"Aggregated tax base (ATB) " &amp; $G$3</f>
        <v>Aggregated tax base (ATB) 2026</v>
      </c>
      <c r="H175" s="563" t="s">
        <v>114</v>
      </c>
    </row>
    <row r="176" spans="2:8" x14ac:dyDescent="0.25">
      <c r="B176" s="554" t="str">
        <f t="shared" ca="1" si="2"/>
        <v>Massgebendes
Einkommen der
natürlichen
Personen</v>
      </c>
      <c r="C176" s="542" t="s">
        <v>114</v>
      </c>
      <c r="D176" s="1" t="s">
        <v>348</v>
      </c>
      <c r="E176" s="1" t="s">
        <v>366</v>
      </c>
      <c r="F176" s="1" t="s">
        <v>422</v>
      </c>
      <c r="G176" s="1" t="s">
        <v>910</v>
      </c>
      <c r="H176" s="1" t="s">
        <v>114</v>
      </c>
    </row>
    <row r="177" spans="2:8" x14ac:dyDescent="0.25">
      <c r="B177" s="554" t="str">
        <f t="shared" ca="1" si="2"/>
        <v>Massgebendes
quellenbesteuertes
Einkommen</v>
      </c>
      <c r="C177" s="542" t="s">
        <v>114</v>
      </c>
      <c r="D177" s="1" t="s">
        <v>349</v>
      </c>
      <c r="E177" s="1" t="s">
        <v>375</v>
      </c>
      <c r="F177" s="1" t="s">
        <v>418</v>
      </c>
      <c r="G177" s="1" t="s">
        <v>912</v>
      </c>
      <c r="H177" s="1" t="s">
        <v>114</v>
      </c>
    </row>
    <row r="178" spans="2:8" x14ac:dyDescent="0.25">
      <c r="B178" s="554" t="str">
        <f t="shared" ca="1" si="2"/>
        <v>Massgebendes
Vermögen</v>
      </c>
      <c r="C178" s="542" t="s">
        <v>114</v>
      </c>
      <c r="D178" s="1" t="s">
        <v>347</v>
      </c>
      <c r="E178" s="1" t="s">
        <v>377</v>
      </c>
      <c r="F178" s="1" t="s">
        <v>378</v>
      </c>
      <c r="G178" s="1" t="s">
        <v>379</v>
      </c>
      <c r="H178" s="1" t="s">
        <v>114</v>
      </c>
    </row>
    <row r="179" spans="2:8" x14ac:dyDescent="0.25">
      <c r="B179" s="554" t="str">
        <f t="shared" ca="1" si="2"/>
        <v>Massgebender
Gewinn der
juristischen
Personen</v>
      </c>
      <c r="C179" s="542" t="s">
        <v>114</v>
      </c>
      <c r="D179" s="1" t="s">
        <v>350</v>
      </c>
      <c r="E179" s="1" t="s">
        <v>383</v>
      </c>
      <c r="F179" s="1" t="s">
        <v>423</v>
      </c>
      <c r="G179" s="1" t="s">
        <v>451</v>
      </c>
      <c r="H179" s="1" t="s">
        <v>114</v>
      </c>
    </row>
    <row r="180" spans="2:8" x14ac:dyDescent="0.25">
      <c r="B180" s="554" t="str">
        <f t="shared" ca="1" si="2"/>
        <v>Massgebende
Steuer-
repartitionen</v>
      </c>
      <c r="C180" s="542" t="s">
        <v>114</v>
      </c>
      <c r="D180" s="1" t="s">
        <v>351</v>
      </c>
      <c r="E180" s="1" t="s">
        <v>382</v>
      </c>
      <c r="F180" s="1" t="s">
        <v>421</v>
      </c>
      <c r="G180" s="1" t="s">
        <v>450</v>
      </c>
      <c r="H180" s="1" t="s">
        <v>114</v>
      </c>
    </row>
    <row r="181" spans="2:8" x14ac:dyDescent="0.25">
      <c r="B181" s="555" t="str">
        <f t="shared" ca="1" si="2"/>
        <v>ASG Total</v>
      </c>
      <c r="C181" s="542" t="s">
        <v>114</v>
      </c>
      <c r="D181" s="1" t="s">
        <v>50</v>
      </c>
      <c r="E181" s="1" t="s">
        <v>217</v>
      </c>
      <c r="F181" s="1" t="s">
        <v>326</v>
      </c>
      <c r="G181" s="1" t="s">
        <v>223</v>
      </c>
      <c r="H181" s="1" t="s">
        <v>114</v>
      </c>
    </row>
    <row r="182" spans="2:8" x14ac:dyDescent="0.25">
      <c r="B182" s="556" t="str">
        <f t="shared" ca="1" si="2"/>
        <v>Massgebende Wohnbevölkerung 2026</v>
      </c>
      <c r="C182" s="542" t="s">
        <v>155</v>
      </c>
      <c r="D182" s="563" t="str">
        <f>"Massgebende Wohnbevölkerung " &amp; $G$3</f>
        <v>Massgebende Wohnbevölkerung 2026</v>
      </c>
      <c r="E182" s="563" t="str">
        <f>"Population résidante déterminante " &amp; $G$3</f>
        <v>Population résidante déterminante 2026</v>
      </c>
      <c r="F182" s="563" t="str">
        <f>"Popolazione residente determinante " &amp; $G$3</f>
        <v>Popolazione residente determinante 2026</v>
      </c>
      <c r="G182" s="563" t="str">
        <f>"Relevant resident population " &amp; $G$3</f>
        <v>Relevant resident population 2026</v>
      </c>
      <c r="H182" s="563" t="s">
        <v>114</v>
      </c>
    </row>
    <row r="183" spans="2:8" ht="12" customHeight="1" x14ac:dyDescent="0.25">
      <c r="B183" s="554" t="str">
        <f t="shared" ca="1" si="2"/>
        <v>Mittlere ständige und nichtständige Wohnbevölkerung</v>
      </c>
      <c r="C183" s="542" t="s">
        <v>114</v>
      </c>
      <c r="D183" s="1" t="s">
        <v>91</v>
      </c>
      <c r="E183" s="1" t="s">
        <v>402</v>
      </c>
      <c r="F183" s="1" t="s">
        <v>424</v>
      </c>
      <c r="G183" s="1" t="s">
        <v>254</v>
      </c>
      <c r="H183" s="1" t="s">
        <v>114</v>
      </c>
    </row>
    <row r="184" spans="2:8" x14ac:dyDescent="0.25">
      <c r="B184" s="555" t="str">
        <f t="shared" ref="B184:B242" ca="1" si="3">INDIRECT(ADDRESS(ROW(),$D$7+3))</f>
        <v>Massgebende
Wohnbevölkerung</v>
      </c>
      <c r="C184" s="542" t="s">
        <v>114</v>
      </c>
      <c r="D184" s="1" t="s">
        <v>352</v>
      </c>
      <c r="E184" s="1" t="s">
        <v>384</v>
      </c>
      <c r="F184" s="1" t="s">
        <v>425</v>
      </c>
      <c r="G184" s="1" t="s">
        <v>452</v>
      </c>
      <c r="H184" s="1" t="s">
        <v>114</v>
      </c>
    </row>
    <row r="185" spans="2:8" x14ac:dyDescent="0.25">
      <c r="B185" s="556" t="str">
        <f t="shared" ca="1" si="3"/>
        <v>Berechnung Ressourcenpotenzial und -index 2026</v>
      </c>
      <c r="C185" s="542" t="s">
        <v>156</v>
      </c>
      <c r="D185" s="563" t="str">
        <f>"Berechnung Ressourcenpotenzial und -index " &amp; $G$3</f>
        <v>Berechnung Ressourcenpotenzial und -index 2026</v>
      </c>
      <c r="E185" s="563" t="str">
        <f>"Calcul du potentiel de ressources et de l'indice des ressources " &amp; $G$3</f>
        <v>Calcul du potentiel de ressources et de l'indice des ressources 2026</v>
      </c>
      <c r="F185" s="563" t="str">
        <f>"Calcolo del potenziale e dell'indice delle risorse " &amp; $G$3</f>
        <v>Calcolo del potenziale e dell'indice delle risorse 2026</v>
      </c>
      <c r="G185" s="563" t="str">
        <f>"Resource potential and resource index " &amp; $G$3</f>
        <v>Resource potential and resource index 2026</v>
      </c>
      <c r="H185" s="563" t="s">
        <v>114</v>
      </c>
    </row>
    <row r="186" spans="2:8" x14ac:dyDescent="0.25">
      <c r="B186" s="554" t="str">
        <f t="shared" ca="1" si="3"/>
        <v>ASG 2020</v>
      </c>
      <c r="C186" s="542" t="s">
        <v>114</v>
      </c>
      <c r="D186" s="1" t="str">
        <f>"ASG "&amp;$G$3-6</f>
        <v>ASG 2020</v>
      </c>
      <c r="E186" s="1" t="str">
        <f>"AFA "&amp;$G$3-6</f>
        <v>AFA 2020</v>
      </c>
      <c r="F186" s="1" t="str">
        <f>"BIA "&amp;$G$3-6</f>
        <v>BIA 2020</v>
      </c>
      <c r="G186" s="1" t="str">
        <f>"ATB "&amp;$G$3-6</f>
        <v>ATB 2020</v>
      </c>
      <c r="H186" s="1" t="s">
        <v>114</v>
      </c>
    </row>
    <row r="187" spans="2:8" x14ac:dyDescent="0.25">
      <c r="B187" s="554" t="str">
        <f t="shared" ca="1" si="3"/>
        <v>ASG 2021</v>
      </c>
      <c r="C187" s="542" t="s">
        <v>114</v>
      </c>
      <c r="D187" s="1" t="str">
        <f>"ASG "&amp;$G$3-5</f>
        <v>ASG 2021</v>
      </c>
      <c r="E187" s="1" t="str">
        <f>"AFA "&amp;$G$3-5</f>
        <v>AFA 2021</v>
      </c>
      <c r="F187" s="1" t="str">
        <f>"BIA "&amp;$G$3-5</f>
        <v>BIA 2021</v>
      </c>
      <c r="G187" s="1" t="str">
        <f>"ATB "&amp;$G$3-5</f>
        <v>ATB 2021</v>
      </c>
      <c r="H187" s="1" t="s">
        <v>114</v>
      </c>
    </row>
    <row r="188" spans="2:8" x14ac:dyDescent="0.25">
      <c r="B188" s="554" t="str">
        <f t="shared" ca="1" si="3"/>
        <v>ASG 2022</v>
      </c>
      <c r="C188" s="542" t="s">
        <v>114</v>
      </c>
      <c r="D188" s="1" t="str">
        <f>"ASG "&amp;$G$3-4</f>
        <v>ASG 2022</v>
      </c>
      <c r="E188" s="1" t="str">
        <f>"AFA "&amp;$G$3-4</f>
        <v>AFA 2022</v>
      </c>
      <c r="F188" s="1" t="str">
        <f>"BIA "&amp;$G$3-4</f>
        <v>BIA 2022</v>
      </c>
      <c r="G188" s="1" t="str">
        <f>"ATB "&amp;$G$3-4</f>
        <v>ATB 2022</v>
      </c>
      <c r="H188" s="1" t="s">
        <v>114</v>
      </c>
    </row>
    <row r="189" spans="2:8" x14ac:dyDescent="0.25">
      <c r="B189" s="554" t="str">
        <f t="shared" ca="1" si="3"/>
        <v>Ressourcen-
potenzial</v>
      </c>
      <c r="C189" s="542" t="s">
        <v>114</v>
      </c>
      <c r="D189" s="1" t="s">
        <v>170</v>
      </c>
      <c r="E189" s="1" t="s">
        <v>385</v>
      </c>
      <c r="F189" s="1" t="s">
        <v>426</v>
      </c>
      <c r="G189" s="1" t="s">
        <v>453</v>
      </c>
      <c r="H189" s="1" t="s">
        <v>114</v>
      </c>
    </row>
    <row r="190" spans="2:8" x14ac:dyDescent="0.25">
      <c r="B190" s="554" t="str">
        <f t="shared" ca="1" si="3"/>
        <v>Massgebende
Wohnbevölkerung</v>
      </c>
      <c r="C190" s="542" t="s">
        <v>114</v>
      </c>
      <c r="D190" s="1" t="s">
        <v>352</v>
      </c>
      <c r="E190" s="1" t="s">
        <v>384</v>
      </c>
      <c r="F190" s="1" t="s">
        <v>425</v>
      </c>
      <c r="G190" s="1" t="s">
        <v>452</v>
      </c>
      <c r="H190" s="1" t="s">
        <v>114</v>
      </c>
    </row>
    <row r="191" spans="2:8" x14ac:dyDescent="0.25">
      <c r="B191" s="554" t="str">
        <f t="shared" ca="1" si="3"/>
        <v>Ressourcen-
potenzial pro
Einwohner</v>
      </c>
      <c r="C191" s="542" t="s">
        <v>114</v>
      </c>
      <c r="D191" s="1" t="s">
        <v>353</v>
      </c>
      <c r="E191" s="1" t="s">
        <v>386</v>
      </c>
      <c r="F191" s="1" t="s">
        <v>427</v>
      </c>
      <c r="G191" s="1" t="s">
        <v>454</v>
      </c>
      <c r="H191" s="1" t="s">
        <v>114</v>
      </c>
    </row>
    <row r="192" spans="2:8" x14ac:dyDescent="0.25">
      <c r="B192" s="554" t="str">
        <f t="shared" ca="1" si="3"/>
        <v>Ressourcen-
index</v>
      </c>
      <c r="C192" s="542" t="s">
        <v>114</v>
      </c>
      <c r="D192" s="1" t="s">
        <v>98</v>
      </c>
      <c r="E192" s="1" t="s">
        <v>387</v>
      </c>
      <c r="F192" s="1" t="s">
        <v>428</v>
      </c>
      <c r="G192" s="1" t="s">
        <v>406</v>
      </c>
      <c r="H192" s="1" t="s">
        <v>114</v>
      </c>
    </row>
    <row r="193" spans="2:8" x14ac:dyDescent="0.25">
      <c r="B193" s="554" t="str">
        <f t="shared" ca="1" si="3"/>
        <v>H / H[Schweiz] * 100</v>
      </c>
      <c r="C193" s="542" t="s">
        <v>114</v>
      </c>
      <c r="D193" s="1" t="s">
        <v>85</v>
      </c>
      <c r="E193" s="1" t="s">
        <v>218</v>
      </c>
      <c r="F193" s="1" t="s">
        <v>327</v>
      </c>
      <c r="G193" s="1" t="s">
        <v>225</v>
      </c>
      <c r="H193" s="1" t="s">
        <v>114</v>
      </c>
    </row>
    <row r="194" spans="2:8" ht="11.25" customHeight="1" x14ac:dyDescent="0.25">
      <c r="B194" s="554" t="str">
        <f t="shared" ca="1" si="3"/>
        <v>ASG-Index
Standardabweichung</v>
      </c>
      <c r="C194" s="542" t="s">
        <v>114</v>
      </c>
      <c r="D194" s="1" t="s">
        <v>562</v>
      </c>
      <c r="E194" s="1" t="s">
        <v>567</v>
      </c>
      <c r="F194" s="1" t="s">
        <v>568</v>
      </c>
      <c r="G194" s="1" t="s">
        <v>569</v>
      </c>
      <c r="H194" s="1" t="s">
        <v>114</v>
      </c>
    </row>
    <row r="195" spans="2:8" ht="11.25" customHeight="1" x14ac:dyDescent="0.25">
      <c r="B195" s="555" t="str">
        <f t="shared" ca="1" si="3"/>
        <v>Ressourcenindex
Standardabweichung</v>
      </c>
      <c r="C195" s="542" t="s">
        <v>114</v>
      </c>
      <c r="D195" s="1" t="s">
        <v>563</v>
      </c>
      <c r="E195" s="1" t="s">
        <v>566</v>
      </c>
      <c r="F195" s="1" t="s">
        <v>564</v>
      </c>
      <c r="G195" s="1" t="s">
        <v>565</v>
      </c>
      <c r="H195" s="1" t="s">
        <v>114</v>
      </c>
    </row>
    <row r="196" spans="2:8" x14ac:dyDescent="0.25">
      <c r="B196" s="557" t="str">
        <f t="shared" ca="1" si="3"/>
        <v>Standardisierter Steuersatz (SST) 2026</v>
      </c>
      <c r="C196" s="542" t="s">
        <v>161</v>
      </c>
      <c r="D196" s="563" t="str">
        <f>"Standardisierter Steuersatz (SST) " &amp; $G$3</f>
        <v>Standardisierter Steuersatz (SST) 2026</v>
      </c>
      <c r="E196" s="563" t="str">
        <f>"Taux fiscal standardisé (TFS) " &amp; $G$3</f>
        <v>Taux fiscal standardisé (TFS) 2026</v>
      </c>
      <c r="F196" s="563" t="str">
        <f>"Aliquota d'imposta standardizzata (AIS) " &amp; $G$3</f>
        <v>Aliquota d'imposta standardizzata (AIS) 2026</v>
      </c>
      <c r="G196" s="563" t="str">
        <f>"Standardized tax rate (STRate) " &amp; $G$3</f>
        <v>Standardized tax rate (STRate) 2026</v>
      </c>
      <c r="H196" s="563" t="s">
        <v>114</v>
      </c>
    </row>
    <row r="197" spans="2:8" x14ac:dyDescent="0.25">
      <c r="B197" s="554" t="str">
        <f t="shared" ca="1" si="3"/>
        <v>Steuereinnahmen der Kantone und Gemeinden</v>
      </c>
      <c r="C197" s="542" t="s">
        <v>114</v>
      </c>
      <c r="D197" s="1" t="s">
        <v>512</v>
      </c>
      <c r="E197" s="1" t="s">
        <v>520</v>
      </c>
      <c r="F197" s="1" t="s">
        <v>527</v>
      </c>
      <c r="G197" s="1" t="s">
        <v>534</v>
      </c>
      <c r="H197" s="1" t="s">
        <v>114</v>
      </c>
    </row>
    <row r="198" spans="2:8" x14ac:dyDescent="0.25">
      <c r="B198" s="554" t="str">
        <f t="shared" ca="1" si="3"/>
        <v>Debitorenverluste auf Steuereinnahmen</v>
      </c>
      <c r="C198" s="542" t="s">
        <v>114</v>
      </c>
      <c r="D198" s="1" t="s">
        <v>513</v>
      </c>
      <c r="E198" s="1" t="s">
        <v>521</v>
      </c>
      <c r="F198" s="1" t="s">
        <v>528</v>
      </c>
      <c r="G198" s="1" t="s">
        <v>535</v>
      </c>
      <c r="H198" s="1" t="s">
        <v>114</v>
      </c>
    </row>
    <row r="199" spans="2:8" x14ac:dyDescent="0.25">
      <c r="B199" s="554" t="str">
        <f t="shared" ca="1" si="3"/>
        <v>Einnahmen direkte Bundessteuer (DBSt)</v>
      </c>
      <c r="C199" s="542" t="s">
        <v>114</v>
      </c>
      <c r="D199" s="1" t="s">
        <v>514</v>
      </c>
      <c r="E199" s="1" t="s">
        <v>522</v>
      </c>
      <c r="F199" s="1" t="s">
        <v>529</v>
      </c>
      <c r="G199" s="1" t="s">
        <v>536</v>
      </c>
      <c r="H199" s="1" t="s">
        <v>114</v>
      </c>
    </row>
    <row r="200" spans="2:8" x14ac:dyDescent="0.25">
      <c r="B200" s="554" t="str">
        <f t="shared" ca="1" si="3"/>
        <v>Kantonsanteil</v>
      </c>
      <c r="C200" s="542" t="s">
        <v>114</v>
      </c>
      <c r="D200" s="1" t="s">
        <v>508</v>
      </c>
      <c r="E200" s="1" t="s">
        <v>585</v>
      </c>
      <c r="F200" s="1" t="s">
        <v>541</v>
      </c>
      <c r="G200" s="1" t="s">
        <v>542</v>
      </c>
      <c r="H200" s="1" t="s">
        <v>114</v>
      </c>
    </row>
    <row r="201" spans="2:8" x14ac:dyDescent="0.25">
      <c r="B201" s="554" t="str">
        <f t="shared" ca="1" si="3"/>
        <v>Anteil der Kantone an DBSt</v>
      </c>
      <c r="C201" s="542" t="s">
        <v>114</v>
      </c>
      <c r="D201" s="1" t="s">
        <v>515</v>
      </c>
      <c r="E201" s="1" t="s">
        <v>586</v>
      </c>
      <c r="F201" s="1" t="s">
        <v>543</v>
      </c>
      <c r="G201" s="1" t="s">
        <v>544</v>
      </c>
      <c r="H201" s="1" t="s">
        <v>114</v>
      </c>
    </row>
    <row r="202" spans="2:8" x14ac:dyDescent="0.25">
      <c r="B202" s="554" t="str">
        <f t="shared" ca="1" si="3"/>
        <v>Standardisierte Steuererträge (SSE)</v>
      </c>
      <c r="C202" s="542" t="s">
        <v>114</v>
      </c>
      <c r="D202" s="1" t="s">
        <v>516</v>
      </c>
      <c r="E202" s="1" t="s">
        <v>523</v>
      </c>
      <c r="F202" s="1" t="s">
        <v>530</v>
      </c>
      <c r="G202" s="1" t="s">
        <v>537</v>
      </c>
      <c r="H202" s="1" t="s">
        <v>114</v>
      </c>
    </row>
    <row r="203" spans="2:8" x14ac:dyDescent="0.25">
      <c r="B203" s="554" t="str">
        <f t="shared" ca="1" si="3"/>
        <v>Massgebende Wohnbevölkerung</v>
      </c>
      <c r="C203" s="542" t="s">
        <v>114</v>
      </c>
      <c r="D203" s="1" t="s">
        <v>0</v>
      </c>
      <c r="E203" s="1" t="s">
        <v>258</v>
      </c>
      <c r="F203" s="1" t="s">
        <v>274</v>
      </c>
      <c r="G203" s="1" t="s">
        <v>224</v>
      </c>
      <c r="H203" s="1" t="s">
        <v>114</v>
      </c>
    </row>
    <row r="204" spans="2:8" x14ac:dyDescent="0.25">
      <c r="B204" s="554" t="str">
        <f t="shared" ca="1" si="3"/>
        <v>Standardisierte Steuererträge pro Kopf</v>
      </c>
      <c r="C204" s="542" t="s">
        <v>114</v>
      </c>
      <c r="D204" s="1" t="s">
        <v>517</v>
      </c>
      <c r="E204" s="1" t="s">
        <v>524</v>
      </c>
      <c r="F204" s="1" t="s">
        <v>531</v>
      </c>
      <c r="G204" s="1" t="s">
        <v>538</v>
      </c>
      <c r="H204" s="1" t="s">
        <v>114</v>
      </c>
    </row>
    <row r="205" spans="2:8" x14ac:dyDescent="0.25">
      <c r="B205" s="554" t="str">
        <f t="shared" ca="1" si="3"/>
        <v>Ressourcenpotenzial pro Kopf</v>
      </c>
      <c r="C205" s="542" t="s">
        <v>114</v>
      </c>
      <c r="D205" s="1" t="s">
        <v>518</v>
      </c>
      <c r="E205" s="1" t="s">
        <v>525</v>
      </c>
      <c r="F205" s="1" t="s">
        <v>532</v>
      </c>
      <c r="G205" s="1" t="s">
        <v>539</v>
      </c>
      <c r="H205" s="1" t="s">
        <v>114</v>
      </c>
    </row>
    <row r="206" spans="2:8" x14ac:dyDescent="0.25">
      <c r="B206" s="555" t="str">
        <f t="shared" ca="1" si="3"/>
        <v>Standardisierter Steuersatz (SST)</v>
      </c>
      <c r="C206" s="542" t="s">
        <v>114</v>
      </c>
      <c r="D206" s="1" t="s">
        <v>519</v>
      </c>
      <c r="E206" s="1" t="s">
        <v>526</v>
      </c>
      <c r="F206" s="1" t="s">
        <v>533</v>
      </c>
      <c r="G206" s="1" t="s">
        <v>540</v>
      </c>
      <c r="H206" s="1" t="s">
        <v>114</v>
      </c>
    </row>
    <row r="207" spans="2:8" x14ac:dyDescent="0.25">
      <c r="B207" s="556" t="str">
        <f t="shared" ca="1" si="3"/>
        <v>Auszahlungen an die ressourcenschwachen Kantone 2026</v>
      </c>
      <c r="C207" s="542" t="s">
        <v>159</v>
      </c>
      <c r="D207" s="563" t="str">
        <f>"Auszahlungen an die ressourcenschwachen Kantone " &amp; $G$3</f>
        <v>Auszahlungen an die ressourcenschwachen Kantone 2026</v>
      </c>
      <c r="E207" s="563" t="str">
        <f>"Montants reçus par les cantons à faible potentiel de ressources " &amp; $G$3</f>
        <v>Montants reçus par les cantons à faible potentiel de ressources 2026</v>
      </c>
      <c r="F207" s="563" t="str">
        <f>"Versamenti ai Cantoni finanziariamente deboli " &amp; $G$3</f>
        <v>Versamenti ai Cantoni finanziariamente deboli 2026</v>
      </c>
      <c r="G207" s="563" t="str">
        <f>"Outpayments to financially weak cantons " &amp; $G$3</f>
        <v>Outpayments to financially weak cantons 2026</v>
      </c>
      <c r="H207" s="563" t="s">
        <v>114</v>
      </c>
    </row>
    <row r="208" spans="2:8" x14ac:dyDescent="0.25">
      <c r="B208" s="554" t="str">
        <f t="shared" ca="1" si="3"/>
        <v>Ressourcen-
index</v>
      </c>
      <c r="C208" s="542" t="s">
        <v>114</v>
      </c>
      <c r="D208" s="1" t="s">
        <v>98</v>
      </c>
      <c r="E208" s="1" t="s">
        <v>387</v>
      </c>
      <c r="F208" s="1" t="s">
        <v>428</v>
      </c>
      <c r="G208" s="1" t="s">
        <v>406</v>
      </c>
      <c r="H208" s="1" t="s">
        <v>114</v>
      </c>
    </row>
    <row r="209" spans="2:8" ht="11.25" customHeight="1" x14ac:dyDescent="0.25">
      <c r="B209" s="554" t="str">
        <f t="shared" ca="1" si="3"/>
        <v>Auszahlung in
Indexpunkten</v>
      </c>
      <c r="C209" s="542" t="s">
        <v>114</v>
      </c>
      <c r="D209" s="1" t="s">
        <v>547</v>
      </c>
      <c r="E209" s="1" t="s">
        <v>616</v>
      </c>
      <c r="F209" s="1" t="s">
        <v>625</v>
      </c>
      <c r="G209" s="1" t="s">
        <v>627</v>
      </c>
      <c r="H209" s="1" t="s">
        <v>114</v>
      </c>
    </row>
    <row r="210" spans="2:8" ht="11.25" customHeight="1" x14ac:dyDescent="0.25">
      <c r="B210" s="554" t="str">
        <f t="shared" ca="1" si="3"/>
        <v>Index SSE
nach
Ausgleich</v>
      </c>
      <c r="C210" s="542" t="s">
        <v>114</v>
      </c>
      <c r="D210" s="1" t="s">
        <v>88</v>
      </c>
      <c r="E210" s="1" t="s">
        <v>401</v>
      </c>
      <c r="F210" s="1" t="s">
        <v>439</v>
      </c>
      <c r="G210" s="1" t="s">
        <v>467</v>
      </c>
      <c r="H210" s="1" t="s">
        <v>114</v>
      </c>
    </row>
    <row r="211" spans="2:8" x14ac:dyDescent="0.25">
      <c r="B211" s="554" t="str">
        <f t="shared" ca="1" si="3"/>
        <v>Auszahlung
pro Einwohner</v>
      </c>
      <c r="C211" s="542" t="s">
        <v>114</v>
      </c>
      <c r="D211" s="1" t="s">
        <v>101</v>
      </c>
      <c r="E211" s="1" t="s">
        <v>394</v>
      </c>
      <c r="F211" s="1" t="s">
        <v>434</v>
      </c>
      <c r="G211" s="1" t="s">
        <v>462</v>
      </c>
      <c r="H211" s="1" t="s">
        <v>114</v>
      </c>
    </row>
    <row r="212" spans="2:8" x14ac:dyDescent="0.25">
      <c r="B212" s="554" t="str">
        <f t="shared" ca="1" si="3"/>
        <v xml:space="preserve">Auszahlung
</v>
      </c>
      <c r="C212" s="542" t="s">
        <v>114</v>
      </c>
      <c r="D212" s="1" t="s">
        <v>728</v>
      </c>
      <c r="E212" s="1" t="s">
        <v>395</v>
      </c>
      <c r="F212" s="1" t="s">
        <v>729</v>
      </c>
      <c r="G212" s="1" t="s">
        <v>730</v>
      </c>
      <c r="H212" s="1" t="s">
        <v>114</v>
      </c>
    </row>
    <row r="213" spans="2:8" x14ac:dyDescent="0.25">
      <c r="B213" s="554" t="str">
        <f t="shared" ca="1" si="3"/>
        <v>Garantierte Mindestausstattung</v>
      </c>
      <c r="D213" s="1" t="s">
        <v>548</v>
      </c>
      <c r="E213" s="1" t="s">
        <v>611</v>
      </c>
      <c r="F213" s="1" t="s">
        <v>618</v>
      </c>
      <c r="G213" s="1" t="s">
        <v>576</v>
      </c>
      <c r="H213" s="1" t="s">
        <v>114</v>
      </c>
    </row>
    <row r="214" spans="2:8" x14ac:dyDescent="0.25">
      <c r="B214" s="554" t="str">
        <f t="shared" ca="1" si="3"/>
        <v>Beginn Progression</v>
      </c>
      <c r="D214" s="1" t="s">
        <v>549</v>
      </c>
      <c r="E214" s="1" t="s">
        <v>612</v>
      </c>
      <c r="F214" s="1" t="s">
        <v>619</v>
      </c>
      <c r="G214" s="1" t="s">
        <v>577</v>
      </c>
      <c r="H214" s="1" t="s">
        <v>114</v>
      </c>
    </row>
    <row r="215" spans="2:8" x14ac:dyDescent="0.25">
      <c r="B215" s="554" t="str">
        <f t="shared" ca="1" si="3"/>
        <v>Maximale Grenzabschöpfung</v>
      </c>
      <c r="D215" s="1" t="s">
        <v>550</v>
      </c>
      <c r="E215" s="1" t="s">
        <v>613</v>
      </c>
      <c r="F215" s="1" t="s">
        <v>620</v>
      </c>
      <c r="G215" s="1" t="s">
        <v>578</v>
      </c>
      <c r="H215" s="1" t="s">
        <v>114</v>
      </c>
    </row>
    <row r="216" spans="2:8" x14ac:dyDescent="0.25">
      <c r="B216" s="554" t="str">
        <f t="shared" ca="1" si="3"/>
        <v>SSE pro Einwohner</v>
      </c>
      <c r="D216" s="1" t="s">
        <v>551</v>
      </c>
      <c r="E216" s="1" t="s">
        <v>614</v>
      </c>
      <c r="F216" s="1" t="s">
        <v>621</v>
      </c>
      <c r="G216" s="1" t="s">
        <v>579</v>
      </c>
      <c r="H216" s="1" t="s">
        <v>114</v>
      </c>
    </row>
    <row r="217" spans="2:8" x14ac:dyDescent="0.25">
      <c r="B217" s="554" t="str">
        <f t="shared" ca="1" si="3"/>
        <v>Progressionsmass p</v>
      </c>
      <c r="D217" s="1" t="s">
        <v>104</v>
      </c>
      <c r="E217" s="1" t="s">
        <v>396</v>
      </c>
      <c r="F217" s="1" t="s">
        <v>622</v>
      </c>
      <c r="G217" s="1" t="s">
        <v>255</v>
      </c>
      <c r="H217" s="1" t="s">
        <v>114</v>
      </c>
    </row>
    <row r="218" spans="2:8" x14ac:dyDescent="0.25">
      <c r="B218" s="555" t="str">
        <f t="shared" ca="1" si="3"/>
        <v>Progressionsmass t</v>
      </c>
      <c r="C218" s="542" t="s">
        <v>114</v>
      </c>
      <c r="D218" s="1" t="s">
        <v>561</v>
      </c>
      <c r="E218" s="1" t="s">
        <v>615</v>
      </c>
      <c r="F218" s="1" t="s">
        <v>623</v>
      </c>
      <c r="G218" s="1" t="s">
        <v>580</v>
      </c>
      <c r="H218" s="1" t="s">
        <v>114</v>
      </c>
    </row>
    <row r="219" spans="2:8" x14ac:dyDescent="0.25">
      <c r="B219" s="556" t="str">
        <f t="shared" ca="1" si="3"/>
        <v>Dotationen im Ressourcenausgleich 2026</v>
      </c>
      <c r="C219" s="542" t="s">
        <v>157</v>
      </c>
      <c r="D219" s="563" t="str">
        <f>"Dotationen im Ressourcenausgleich " &amp; $G$3</f>
        <v>Dotationen im Ressourcenausgleich 2026</v>
      </c>
      <c r="E219" s="563" t="str">
        <f>"Dotations de la péréquation des ressources " &amp; $G$3</f>
        <v>Dotations de la péréquation des ressources 2026</v>
      </c>
      <c r="F219" s="563" t="str">
        <f>"Dotazioni nella perequazione delle risorse " &amp; $G$3</f>
        <v>Dotazioni nella perequazione delle risorse 2026</v>
      </c>
      <c r="G219" s="563" t="str">
        <f>"Resource equalization endowments " &amp; $G$3</f>
        <v>Resource equalization endowments 2026</v>
      </c>
      <c r="H219" s="563" t="s">
        <v>114</v>
      </c>
    </row>
    <row r="220" spans="2:8" x14ac:dyDescent="0.25">
      <c r="B220" s="554" t="str">
        <f t="shared" ca="1" si="3"/>
        <v>Vertikaler
Ressourcenausgleich
(VRA)</v>
      </c>
      <c r="C220" s="542" t="s">
        <v>114</v>
      </c>
      <c r="D220" s="1" t="s">
        <v>354</v>
      </c>
      <c r="E220" s="1" t="s">
        <v>388</v>
      </c>
      <c r="F220" s="1" t="s">
        <v>429</v>
      </c>
      <c r="G220" s="1" t="s">
        <v>455</v>
      </c>
      <c r="H220" s="1" t="s">
        <v>114</v>
      </c>
    </row>
    <row r="221" spans="2:8" ht="11.25" customHeight="1" x14ac:dyDescent="0.25">
      <c r="B221" s="554" t="str">
        <f t="shared" ca="1" si="3"/>
        <v>Horizontaler
Ressourcenausgleich
(HRA)</v>
      </c>
      <c r="C221" s="542" t="s">
        <v>114</v>
      </c>
      <c r="D221" s="1" t="s">
        <v>470</v>
      </c>
      <c r="E221" s="1" t="s">
        <v>389</v>
      </c>
      <c r="F221" s="1" t="s">
        <v>430</v>
      </c>
      <c r="G221" s="1" t="s">
        <v>456</v>
      </c>
      <c r="H221" s="1" t="s">
        <v>114</v>
      </c>
    </row>
    <row r="222" spans="2:8" x14ac:dyDescent="0.25">
      <c r="B222" s="554" t="str">
        <f t="shared" ca="1" si="3"/>
        <v>Ausgleich
Total</v>
      </c>
      <c r="C222" s="542" t="s">
        <v>114</v>
      </c>
      <c r="D222" s="1" t="s">
        <v>355</v>
      </c>
      <c r="E222" s="1" t="s">
        <v>390</v>
      </c>
      <c r="F222" s="1" t="s">
        <v>431</v>
      </c>
      <c r="G222" s="1" t="s">
        <v>457</v>
      </c>
      <c r="H222" s="1" t="s">
        <v>114</v>
      </c>
    </row>
    <row r="223" spans="2:8" x14ac:dyDescent="0.25">
      <c r="B223" s="554" t="str">
        <f t="shared" ca="1" si="3"/>
        <v>Dotation 2026</v>
      </c>
      <c r="C223" s="542" t="s">
        <v>114</v>
      </c>
      <c r="D223" s="1" t="str">
        <f>"Dotation " &amp; $G$3</f>
        <v>Dotation 2026</v>
      </c>
      <c r="E223" s="1" t="str">
        <f>"Dotation " &amp; $G$3</f>
        <v>Dotation 2026</v>
      </c>
      <c r="F223" s="1" t="str">
        <f>"Dotazione " &amp; $G$3</f>
        <v>Dotazione 2026</v>
      </c>
      <c r="G223" s="1" t="str">
        <f>"Endowment " &amp; $G$3</f>
        <v>Endowment 2026</v>
      </c>
      <c r="H223" s="1" t="s">
        <v>114</v>
      </c>
    </row>
    <row r="224" spans="2:8" x14ac:dyDescent="0.25">
      <c r="B224" s="554" t="str">
        <f t="shared" ca="1" si="3"/>
        <v>Anteile</v>
      </c>
      <c r="D224" s="1" t="s">
        <v>556</v>
      </c>
      <c r="E224" s="1" t="s">
        <v>617</v>
      </c>
      <c r="F224" s="1" t="s">
        <v>624</v>
      </c>
      <c r="G224" s="1" t="s">
        <v>909</v>
      </c>
      <c r="H224" s="1" t="s">
        <v>114</v>
      </c>
    </row>
    <row r="225" spans="2:8" x14ac:dyDescent="0.25">
      <c r="B225" s="555" t="str">
        <f t="shared" ca="1" si="3"/>
        <v>VRA in % des HRA</v>
      </c>
      <c r="C225" s="542" t="s">
        <v>114</v>
      </c>
      <c r="D225" s="1" t="s">
        <v>557</v>
      </c>
      <c r="E225" s="1" t="s">
        <v>558</v>
      </c>
      <c r="F225" s="1" t="s">
        <v>559</v>
      </c>
      <c r="G225" s="1" t="s">
        <v>560</v>
      </c>
      <c r="H225" s="1" t="s">
        <v>114</v>
      </c>
    </row>
    <row r="226" spans="2:8" x14ac:dyDescent="0.25">
      <c r="B226" s="556" t="str">
        <f t="shared" ca="1" si="3"/>
        <v>Einzahlungen der ressourcenstarken Kantone 2026</v>
      </c>
      <c r="C226" s="542" t="s">
        <v>158</v>
      </c>
      <c r="D226" s="563" t="str">
        <f>"Einzahlungen der ressourcenstarken Kantone " &amp; $G$3</f>
        <v>Einzahlungen der ressourcenstarken Kantone 2026</v>
      </c>
      <c r="E226" s="563" t="str">
        <f>"Montants versés par les cantons à fort potentiel de ressources " &amp; $G$3</f>
        <v>Montants versés par les cantons à fort potentiel de ressources 2026</v>
      </c>
      <c r="F226" s="563" t="str">
        <f>"Contributi dei Cantoni finanziariamente forti " &amp; $G$3</f>
        <v>Contributi dei Cantoni finanziariamente forti 2026</v>
      </c>
      <c r="G226" s="563" t="str">
        <f>"Inpayments of financially strong cantons " &amp; $G$3</f>
        <v>Inpayments of financially strong cantons 2026</v>
      </c>
      <c r="H226" s="563" t="s">
        <v>114</v>
      </c>
    </row>
    <row r="227" spans="2:8" x14ac:dyDescent="0.25">
      <c r="B227" s="554" t="str">
        <f t="shared" ca="1" si="3"/>
        <v>Ressourcen-
index</v>
      </c>
      <c r="C227" s="542" t="s">
        <v>114</v>
      </c>
      <c r="D227" s="1" t="s">
        <v>98</v>
      </c>
      <c r="E227" s="1" t="s">
        <v>387</v>
      </c>
      <c r="F227" s="1" t="s">
        <v>428</v>
      </c>
      <c r="G227" s="1" t="s">
        <v>406</v>
      </c>
      <c r="H227" s="1" t="s">
        <v>114</v>
      </c>
    </row>
    <row r="228" spans="2:8" x14ac:dyDescent="0.25">
      <c r="B228" s="554" t="str">
        <f t="shared" ca="1" si="3"/>
        <v>Massgebende
Wohn-
bevölkerung</v>
      </c>
      <c r="C228" s="542" t="s">
        <v>114</v>
      </c>
      <c r="D228" s="1" t="s">
        <v>356</v>
      </c>
      <c r="E228" s="1" t="s">
        <v>384</v>
      </c>
      <c r="F228" s="1" t="s">
        <v>425</v>
      </c>
      <c r="G228" s="1" t="s">
        <v>458</v>
      </c>
      <c r="H228" s="1" t="s">
        <v>114</v>
      </c>
    </row>
    <row r="229" spans="2:8" x14ac:dyDescent="0.25">
      <c r="B229" s="554" t="str">
        <f t="shared" ca="1" si="3"/>
        <v>Summe der
gewichteten
Abweichungen</v>
      </c>
      <c r="C229" s="542" t="s">
        <v>114</v>
      </c>
      <c r="D229" s="1" t="s">
        <v>357</v>
      </c>
      <c r="E229" s="1" t="s">
        <v>391</v>
      </c>
      <c r="F229" s="1" t="s">
        <v>432</v>
      </c>
      <c r="G229" s="1" t="s">
        <v>459</v>
      </c>
      <c r="H229" s="1" t="s">
        <v>114</v>
      </c>
    </row>
    <row r="230" spans="2:8" x14ac:dyDescent="0.25">
      <c r="B230" s="554" t="str">
        <f t="shared" ca="1" si="3"/>
        <v>Einzahlung
pro Einwohner</v>
      </c>
      <c r="C230" s="542" t="s">
        <v>114</v>
      </c>
      <c r="D230" s="1" t="s">
        <v>358</v>
      </c>
      <c r="E230" s="1" t="s">
        <v>392</v>
      </c>
      <c r="F230" s="1" t="s">
        <v>433</v>
      </c>
      <c r="G230" s="1" t="s">
        <v>460</v>
      </c>
      <c r="H230" s="1" t="s">
        <v>114</v>
      </c>
    </row>
    <row r="231" spans="2:8" x14ac:dyDescent="0.25">
      <c r="B231" s="554" t="str">
        <f t="shared" ca="1" si="3"/>
        <v xml:space="preserve">Einzahlung
</v>
      </c>
      <c r="C231" s="542" t="s">
        <v>114</v>
      </c>
      <c r="D231" s="1" t="s">
        <v>726</v>
      </c>
      <c r="E231" s="1" t="s">
        <v>393</v>
      </c>
      <c r="F231" s="1" t="s">
        <v>725</v>
      </c>
      <c r="G231" s="1" t="s">
        <v>727</v>
      </c>
      <c r="H231" s="1" t="s">
        <v>114</v>
      </c>
    </row>
    <row r="232" spans="2:8" x14ac:dyDescent="0.25">
      <c r="B232" s="555" t="str">
        <f t="shared" ca="1" si="3"/>
        <v>Dotation/E[Schweiz]*E</v>
      </c>
      <c r="C232" s="542" t="s">
        <v>114</v>
      </c>
      <c r="D232" s="1" t="s">
        <v>87</v>
      </c>
      <c r="E232" s="1" t="s">
        <v>219</v>
      </c>
      <c r="F232" s="1" t="s">
        <v>328</v>
      </c>
      <c r="G232" s="1" t="s">
        <v>461</v>
      </c>
      <c r="H232" s="1" t="s">
        <v>114</v>
      </c>
    </row>
    <row r="233" spans="2:8" x14ac:dyDescent="0.25">
      <c r="B233" s="556" t="str">
        <f t="shared" ca="1" si="3"/>
        <v>Standardisierter Steuerertrag (SSE) 2026</v>
      </c>
      <c r="C233" s="542" t="s">
        <v>160</v>
      </c>
      <c r="D233" s="563" t="str">
        <f>"Standardisierter Steuerertrag (SSE) " &amp; $G$3</f>
        <v>Standardisierter Steuerertrag (SSE) 2026</v>
      </c>
      <c r="E233" s="563" t="str">
        <f>"Recettes fiscales standardisées (RFS) " &amp; $G$3</f>
        <v>Recettes fiscales standardisées (RFS) 2026</v>
      </c>
      <c r="F233" s="563" t="str">
        <f>"Gettito fiscale standardizzato (GFS) " &amp; $G$3</f>
        <v>Gettito fiscale standardizzato (GFS) 2026</v>
      </c>
      <c r="G233" s="563" t="str">
        <f>"Standardized tax revenue (STR) " &amp; $G$3</f>
        <v>Standardized tax revenue (STR) 2026</v>
      </c>
      <c r="H233" s="563" t="s">
        <v>114</v>
      </c>
    </row>
    <row r="234" spans="2:8" x14ac:dyDescent="0.25">
      <c r="B234" s="554" t="str">
        <f t="shared" ca="1" si="3"/>
        <v>Ressourcen-
index</v>
      </c>
      <c r="C234" s="542" t="s">
        <v>114</v>
      </c>
      <c r="D234" s="1" t="s">
        <v>98</v>
      </c>
      <c r="E234" s="1" t="s">
        <v>387</v>
      </c>
      <c r="F234" s="1" t="s">
        <v>428</v>
      </c>
      <c r="G234" s="1" t="s">
        <v>406</v>
      </c>
      <c r="H234" s="1" t="s">
        <v>114</v>
      </c>
    </row>
    <row r="235" spans="2:8" x14ac:dyDescent="0.25">
      <c r="B235" s="554" t="str">
        <f t="shared" ca="1" si="3"/>
        <v>Standardisierter
Steuerertrag
(SSE)</v>
      </c>
      <c r="C235" s="542" t="s">
        <v>114</v>
      </c>
      <c r="D235" s="1" t="s">
        <v>359</v>
      </c>
      <c r="E235" s="1" t="s">
        <v>397</v>
      </c>
      <c r="F235" s="1" t="s">
        <v>435</v>
      </c>
      <c r="G235" s="1" t="s">
        <v>463</v>
      </c>
      <c r="H235" s="1" t="s">
        <v>114</v>
      </c>
    </row>
    <row r="236" spans="2:8" x14ac:dyDescent="0.25">
      <c r="B236" s="554" t="str">
        <f t="shared" ca="1" si="3"/>
        <v>Massgebende
Wohn-
bevölkerung</v>
      </c>
      <c r="C236" s="542" t="s">
        <v>114</v>
      </c>
      <c r="D236" s="1" t="s">
        <v>356</v>
      </c>
      <c r="E236" s="1" t="s">
        <v>384</v>
      </c>
      <c r="F236" s="1" t="s">
        <v>425</v>
      </c>
      <c r="G236" s="1" t="s">
        <v>458</v>
      </c>
      <c r="H236" s="1" t="s">
        <v>114</v>
      </c>
    </row>
    <row r="237" spans="2:8" x14ac:dyDescent="0.25">
      <c r="B237" s="554" t="str">
        <f t="shared" ca="1" si="3"/>
        <v>Standardisierter
Steuerertrag pro
Einwohner vor
Ausgleich</v>
      </c>
      <c r="C237" s="542" t="s">
        <v>114</v>
      </c>
      <c r="D237" s="1" t="s">
        <v>360</v>
      </c>
      <c r="E237" s="1" t="s">
        <v>398</v>
      </c>
      <c r="F237" s="1" t="s">
        <v>436</v>
      </c>
      <c r="G237" s="1" t="s">
        <v>464</v>
      </c>
      <c r="H237" s="1" t="s">
        <v>114</v>
      </c>
    </row>
    <row r="238" spans="2:8" x14ac:dyDescent="0.25">
      <c r="B238" s="554" t="str">
        <f t="shared" ca="1" si="3"/>
        <v>Ressourcen-
ausgleich pro
Einwohner</v>
      </c>
      <c r="C238" s="542" t="s">
        <v>114</v>
      </c>
      <c r="D238" s="1" t="s">
        <v>361</v>
      </c>
      <c r="E238" s="1" t="s">
        <v>399</v>
      </c>
      <c r="F238" s="1" t="s">
        <v>437</v>
      </c>
      <c r="G238" s="1" t="s">
        <v>465</v>
      </c>
      <c r="H238" s="1" t="s">
        <v>114</v>
      </c>
    </row>
    <row r="239" spans="2:8" x14ac:dyDescent="0.25">
      <c r="B239" s="554" t="str">
        <f t="shared" ca="1" si="3"/>
        <v>Standardisierter
Steuerertrag pro
Einwohner nach
Ausgleich</v>
      </c>
      <c r="C239" s="542" t="s">
        <v>114</v>
      </c>
      <c r="D239" s="1" t="s">
        <v>362</v>
      </c>
      <c r="E239" s="1" t="s">
        <v>400</v>
      </c>
      <c r="F239" s="1" t="s">
        <v>438</v>
      </c>
      <c r="G239" s="1" t="s">
        <v>466</v>
      </c>
      <c r="H239" s="1" t="s">
        <v>114</v>
      </c>
    </row>
    <row r="240" spans="2:8" x14ac:dyDescent="0.25">
      <c r="B240" s="554" t="str">
        <f t="shared" ca="1" si="3"/>
        <v>Index SSE
nach
Ausgleich</v>
      </c>
      <c r="C240" s="542" t="s">
        <v>114</v>
      </c>
      <c r="D240" s="1" t="s">
        <v>88</v>
      </c>
      <c r="E240" s="1" t="s">
        <v>401</v>
      </c>
      <c r="F240" s="1" t="s">
        <v>439</v>
      </c>
      <c r="G240" s="1" t="s">
        <v>467</v>
      </c>
      <c r="H240" s="1" t="s">
        <v>114</v>
      </c>
    </row>
    <row r="241" spans="2:8" x14ac:dyDescent="0.25">
      <c r="B241" s="554" t="str">
        <f t="shared" ca="1" si="3"/>
        <v>H / F[Schweiz]</v>
      </c>
      <c r="C241" s="542" t="s">
        <v>114</v>
      </c>
      <c r="D241" s="1" t="s">
        <v>89</v>
      </c>
      <c r="E241" s="1" t="s">
        <v>220</v>
      </c>
      <c r="F241" s="1" t="s">
        <v>329</v>
      </c>
      <c r="G241" s="1" t="s">
        <v>226</v>
      </c>
      <c r="H241" s="1" t="s">
        <v>114</v>
      </c>
    </row>
    <row r="242" spans="2:8" x14ac:dyDescent="0.25">
      <c r="B242" s="555" t="str">
        <f t="shared" ca="1" si="3"/>
        <v>Minimum</v>
      </c>
      <c r="C242" s="542" t="s">
        <v>114</v>
      </c>
      <c r="D242" s="1" t="s">
        <v>41</v>
      </c>
      <c r="E242" s="1" t="s">
        <v>41</v>
      </c>
      <c r="F242" s="1" t="s">
        <v>330</v>
      </c>
      <c r="G242" s="1" t="s">
        <v>41</v>
      </c>
      <c r="H242" s="1" t="s">
        <v>114</v>
      </c>
    </row>
    <row r="243" spans="2:8" x14ac:dyDescent="0.25">
      <c r="B243" s="556" t="str">
        <f t="shared" ca="1" si="1"/>
        <v>Berechnung des Faktors Alpha für die massgebenden Vermögen im Bemessungsjahr 2022</v>
      </c>
      <c r="C243" s="542" t="s">
        <v>750</v>
      </c>
      <c r="D243" s="563" t="str">
        <f>"Berechnung des Faktors Alpha für die massgebenden Vermögen im Bemessungsjahr " &amp; $G$3-4</f>
        <v>Berechnung des Faktors Alpha für die massgebenden Vermögen im Bemessungsjahr 2022</v>
      </c>
      <c r="E243" s="563" t="str">
        <f>"Calcul du facteur alpha pour l'année de calcul " &amp; $G$3-4</f>
        <v>Calcul du facteur alpha pour l'année de calcul 2022</v>
      </c>
      <c r="F243" s="563" t="str">
        <f>"Calcolo fattore alfa per l'anno di calcolo " &amp; $G$3-4</f>
        <v>Calcolo fattore alfa per l'anno di calcolo 2022</v>
      </c>
      <c r="G243" s="563" t="str">
        <f>"Alpha calculation for the assessment year " &amp; $G$3-4</f>
        <v>Alpha calculation for the assessment year 2022</v>
      </c>
      <c r="H243" s="563" t="s">
        <v>114</v>
      </c>
    </row>
    <row r="244" spans="2:8" x14ac:dyDescent="0.25">
      <c r="B244" s="554" t="str">
        <f t="shared" ca="1" si="1"/>
        <v>Fiskaleinnahmen</v>
      </c>
      <c r="D244" s="1" t="s">
        <v>489</v>
      </c>
      <c r="E244" s="1" t="s">
        <v>581</v>
      </c>
      <c r="F244" s="1" t="s">
        <v>597</v>
      </c>
      <c r="G244" s="1" t="s">
        <v>570</v>
      </c>
      <c r="H244" s="1" t="s">
        <v>114</v>
      </c>
    </row>
    <row r="245" spans="2:8" x14ac:dyDescent="0.25">
      <c r="B245" s="554" t="str">
        <f t="shared" ca="1" si="1"/>
        <v>Einkommenssteuern natürliche Personen *</v>
      </c>
      <c r="D245" s="1" t="s">
        <v>504</v>
      </c>
      <c r="E245" s="1" t="s">
        <v>582</v>
      </c>
      <c r="F245" s="1" t="s">
        <v>598</v>
      </c>
      <c r="G245" s="1" t="s">
        <v>894</v>
      </c>
      <c r="H245" s="1" t="s">
        <v>114</v>
      </c>
    </row>
    <row r="246" spans="2:8" x14ac:dyDescent="0.25">
      <c r="B246" s="554" t="str">
        <f t="shared" ca="1" si="1"/>
        <v>Quellensteuern natürliche Personen *</v>
      </c>
      <c r="D246" s="1" t="s">
        <v>505</v>
      </c>
      <c r="E246" s="1" t="s">
        <v>583</v>
      </c>
      <c r="F246" s="1" t="s">
        <v>599</v>
      </c>
      <c r="G246" s="1" t="s">
        <v>895</v>
      </c>
      <c r="H246" s="1" t="s">
        <v>114</v>
      </c>
    </row>
    <row r="247" spans="2:8" x14ac:dyDescent="0.25">
      <c r="B247" s="554" t="str">
        <f t="shared" ca="1" si="1"/>
        <v>Direkte Bundessteuer (DBSt) natürliche Personen</v>
      </c>
      <c r="D247" s="1" t="s">
        <v>509</v>
      </c>
      <c r="E247" s="1" t="s">
        <v>584</v>
      </c>
      <c r="F247" s="1" t="s">
        <v>600</v>
      </c>
      <c r="G247" s="1" t="s">
        <v>896</v>
      </c>
      <c r="H247" s="1" t="s">
        <v>114</v>
      </c>
    </row>
    <row r="248" spans="2:8" x14ac:dyDescent="0.25">
      <c r="B248" s="554" t="str">
        <f t="shared" ca="1" si="1"/>
        <v>Kantonsanteil an DBSt</v>
      </c>
      <c r="D248" s="1" t="s">
        <v>707</v>
      </c>
      <c r="E248" s="1" t="s">
        <v>709</v>
      </c>
      <c r="F248" s="1" t="s">
        <v>543</v>
      </c>
      <c r="G248" s="1" t="s">
        <v>544</v>
      </c>
      <c r="H248" s="1" t="s">
        <v>114</v>
      </c>
    </row>
    <row r="249" spans="2:8" x14ac:dyDescent="0.25">
      <c r="B249" s="554" t="str">
        <f t="shared" ca="1" si="1"/>
        <v>Kantonsanteil an DBSt natürliche Personen</v>
      </c>
      <c r="D249" s="1" t="s">
        <v>744</v>
      </c>
      <c r="E249" s="1" t="s">
        <v>586</v>
      </c>
      <c r="F249" s="1" t="s">
        <v>601</v>
      </c>
      <c r="G249" s="1" t="s">
        <v>897</v>
      </c>
      <c r="H249" s="1" t="s">
        <v>114</v>
      </c>
    </row>
    <row r="250" spans="2:8" x14ac:dyDescent="0.25">
      <c r="B250" s="554" t="str">
        <f t="shared" ca="1" si="1"/>
        <v>Fiskaleinnahmen Einkommen</v>
      </c>
      <c r="D250" s="1" t="s">
        <v>491</v>
      </c>
      <c r="E250" s="1" t="s">
        <v>587</v>
      </c>
      <c r="F250" s="1" t="s">
        <v>602</v>
      </c>
      <c r="G250" s="1" t="s">
        <v>571</v>
      </c>
      <c r="H250" s="1" t="s">
        <v>114</v>
      </c>
    </row>
    <row r="251" spans="2:8" x14ac:dyDescent="0.25">
      <c r="B251" s="554" t="str">
        <f t="shared" ca="1" si="1"/>
        <v>Vermögenssteuern natürliche Personen *</v>
      </c>
      <c r="D251" s="1" t="s">
        <v>506</v>
      </c>
      <c r="E251" s="1" t="s">
        <v>588</v>
      </c>
      <c r="F251" s="1" t="s">
        <v>603</v>
      </c>
      <c r="G251" s="1" t="s">
        <v>898</v>
      </c>
      <c r="H251" s="1" t="s">
        <v>114</v>
      </c>
    </row>
    <row r="252" spans="2:8" x14ac:dyDescent="0.25">
      <c r="B252" s="554" t="str">
        <f t="shared" ca="1" si="1"/>
        <v>Daten Finanzausgleich</v>
      </c>
      <c r="D252" s="1" t="s">
        <v>492</v>
      </c>
      <c r="E252" s="1" t="s">
        <v>589</v>
      </c>
      <c r="F252" s="1" t="s">
        <v>604</v>
      </c>
      <c r="G252" s="1" t="s">
        <v>572</v>
      </c>
      <c r="H252" s="1" t="s">
        <v>114</v>
      </c>
    </row>
    <row r="253" spans="2:8" x14ac:dyDescent="0.25">
      <c r="B253" s="554" t="str">
        <f t="shared" ref="B253:B307" ca="1" si="4">INDIRECT(ADDRESS(ROW(),$D$7+3))</f>
        <v>Massgebende Einkommen der natürlichen Personen</v>
      </c>
      <c r="D253" s="1" t="s">
        <v>493</v>
      </c>
      <c r="E253" s="1" t="s">
        <v>590</v>
      </c>
      <c r="F253" s="1" t="s">
        <v>605</v>
      </c>
      <c r="G253" s="1" t="s">
        <v>899</v>
      </c>
      <c r="H253" s="1" t="s">
        <v>114</v>
      </c>
    </row>
    <row r="254" spans="2:8" x14ac:dyDescent="0.25">
      <c r="B254" s="554" t="str">
        <f t="shared" ca="1" si="4"/>
        <v>Massgebende quellenbesteuerte Einkommen</v>
      </c>
      <c r="D254" s="1" t="s">
        <v>376</v>
      </c>
      <c r="E254" s="1" t="s">
        <v>591</v>
      </c>
      <c r="F254" s="1" t="s">
        <v>606</v>
      </c>
      <c r="G254" s="1" t="s">
        <v>900</v>
      </c>
      <c r="H254" s="1" t="s">
        <v>114</v>
      </c>
    </row>
    <row r="255" spans="2:8" x14ac:dyDescent="0.25">
      <c r="B255" s="554" t="str">
        <f t="shared" ca="1" si="4"/>
        <v>Massgebende Einkommen</v>
      </c>
      <c r="D255" s="1" t="s">
        <v>495</v>
      </c>
      <c r="E255" s="1" t="s">
        <v>592</v>
      </c>
      <c r="F255" s="1" t="s">
        <v>607</v>
      </c>
      <c r="G255" s="1" t="s">
        <v>573</v>
      </c>
      <c r="H255" s="1" t="s">
        <v>114</v>
      </c>
    </row>
    <row r="256" spans="2:8" x14ac:dyDescent="0.25">
      <c r="B256" s="554" t="str">
        <f t="shared" ca="1" si="4"/>
        <v>Reinvermögen</v>
      </c>
      <c r="D256" s="1" t="s">
        <v>44</v>
      </c>
      <c r="E256" s="1" t="s">
        <v>213</v>
      </c>
      <c r="F256" s="1" t="s">
        <v>322</v>
      </c>
      <c r="G256" s="1" t="s">
        <v>222</v>
      </c>
      <c r="H256" s="1" t="s">
        <v>114</v>
      </c>
    </row>
    <row r="257" spans="2:8" x14ac:dyDescent="0.25">
      <c r="B257" s="554" t="str">
        <f t="shared" ca="1" si="4"/>
        <v>Ausschöpfung der Einkommen</v>
      </c>
      <c r="D257" s="1" t="s">
        <v>498</v>
      </c>
      <c r="E257" s="1" t="s">
        <v>593</v>
      </c>
      <c r="F257" s="1" t="s">
        <v>608</v>
      </c>
      <c r="G257" s="1" t="s">
        <v>901</v>
      </c>
      <c r="H257" s="1" t="s">
        <v>114</v>
      </c>
    </row>
    <row r="258" spans="2:8" x14ac:dyDescent="0.25">
      <c r="B258" s="554" t="str">
        <f t="shared" ca="1" si="4"/>
        <v>Ausschöpfung der Vermögen</v>
      </c>
      <c r="D258" s="1" t="s">
        <v>501</v>
      </c>
      <c r="E258" s="1" t="s">
        <v>594</v>
      </c>
      <c r="F258" s="1" t="s">
        <v>609</v>
      </c>
      <c r="G258" s="1" t="s">
        <v>902</v>
      </c>
      <c r="H258" s="1" t="s">
        <v>114</v>
      </c>
    </row>
    <row r="259" spans="2:8" x14ac:dyDescent="0.25">
      <c r="B259" s="554" t="str">
        <f t="shared" ca="1" si="4"/>
        <v>Alpha</v>
      </c>
      <c r="D259" s="1" t="s">
        <v>479</v>
      </c>
      <c r="E259" s="1" t="s">
        <v>479</v>
      </c>
      <c r="F259" s="1" t="s">
        <v>626</v>
      </c>
      <c r="G259" s="1" t="s">
        <v>479</v>
      </c>
      <c r="H259" s="1" t="s">
        <v>114</v>
      </c>
    </row>
    <row r="260" spans="2:8" ht="11.25" customHeight="1" x14ac:dyDescent="0.25">
      <c r="B260" s="554" t="str">
        <f t="shared" ca="1" si="4"/>
        <v>Mittelwert</v>
      </c>
      <c r="D260" s="1" t="s">
        <v>482</v>
      </c>
      <c r="E260" s="1" t="s">
        <v>596</v>
      </c>
      <c r="F260" s="1" t="s">
        <v>837</v>
      </c>
      <c r="G260" s="1" t="s">
        <v>575</v>
      </c>
      <c r="H260" s="1" t="s">
        <v>114</v>
      </c>
    </row>
    <row r="261" spans="2:8" x14ac:dyDescent="0.25">
      <c r="B261" s="554" t="str">
        <f t="shared" ca="1" si="4"/>
        <v>* Fiskaleinnahmen der Kantone und Gemeinden</v>
      </c>
      <c r="D261" s="1" t="s">
        <v>507</v>
      </c>
      <c r="E261" s="1" t="s">
        <v>595</v>
      </c>
      <c r="F261" s="1" t="s">
        <v>610</v>
      </c>
      <c r="G261" s="1" t="s">
        <v>574</v>
      </c>
      <c r="H261" s="1" t="s">
        <v>114</v>
      </c>
    </row>
    <row r="262" spans="2:8" x14ac:dyDescent="0.25">
      <c r="B262" s="557" t="str">
        <f t="shared" ca="1" si="4"/>
        <v>Berechnung der Faktoren Zeta für die Gewinne der juristischen Personen im Bemessungsjahr 2022</v>
      </c>
      <c r="C262" s="542" t="s">
        <v>630</v>
      </c>
      <c r="D262" s="563" t="str">
        <f>"Berechnung der Faktoren Zeta für die Gewinne der juristischen Personen im Bemessungsjahr " &amp; $G$3-4</f>
        <v>Berechnung der Faktoren Zeta für die Gewinne der juristischen Personen im Bemessungsjahr 2022</v>
      </c>
      <c r="E262" s="563" t="str">
        <f>"Calcul des facteurs zêta pour les bénéfices des personnes morales dans l'année de calcul " &amp; $G$3-4</f>
        <v>Calcul des facteurs zêta pour les bénéfices des personnes morales dans l'année de calcul 2022</v>
      </c>
      <c r="F262" s="563" t="str">
        <f>"Calcolo dei fattori zeta per gli utili delle persone giuridiche nell'anno di calcolo " &amp; $G$3-4</f>
        <v>Calcolo dei fattori zeta per gli utili delle persone giuridiche nell'anno di calcolo 2022</v>
      </c>
      <c r="G262" s="563" t="s">
        <v>754</v>
      </c>
      <c r="H262" s="563" t="s">
        <v>114</v>
      </c>
    </row>
    <row r="263" spans="2:8" x14ac:dyDescent="0.25">
      <c r="B263" s="554" t="str">
        <f t="shared" ca="1" si="4"/>
        <v>Berechnung Zeta-2*</v>
      </c>
      <c r="C263" s="542" t="s">
        <v>114</v>
      </c>
      <c r="D263" s="1" t="s">
        <v>636</v>
      </c>
      <c r="E263" s="1" t="s">
        <v>681</v>
      </c>
      <c r="F263" s="1" t="s">
        <v>679</v>
      </c>
      <c r="G263" s="1" t="s">
        <v>680</v>
      </c>
      <c r="H263" s="1" t="s">
        <v>114</v>
      </c>
    </row>
    <row r="264" spans="2:8" x14ac:dyDescent="0.25">
      <c r="B264" s="554" t="str">
        <f t="shared" ca="1" si="4"/>
        <v>Boxengewinne</v>
      </c>
      <c r="C264" s="542" t="s">
        <v>114</v>
      </c>
      <c r="D264" s="1" t="s">
        <v>639</v>
      </c>
      <c r="E264" s="1" t="s">
        <v>677</v>
      </c>
      <c r="F264" s="1" t="s">
        <v>808</v>
      </c>
      <c r="G264" s="1" t="s">
        <v>755</v>
      </c>
      <c r="H264" s="1" t="s">
        <v>114</v>
      </c>
    </row>
    <row r="265" spans="2:8" x14ac:dyDescent="0.25">
      <c r="B265" s="554" t="str">
        <f t="shared" ca="1" si="4"/>
        <v>Mittelwert</v>
      </c>
      <c r="C265" s="542" t="s">
        <v>114</v>
      </c>
      <c r="D265" s="1" t="s">
        <v>482</v>
      </c>
      <c r="E265" s="1" t="s">
        <v>596</v>
      </c>
      <c r="F265" s="1" t="s">
        <v>837</v>
      </c>
      <c r="G265" s="1" t="s">
        <v>575</v>
      </c>
      <c r="H265" s="1" t="s">
        <v>114</v>
      </c>
    </row>
    <row r="266" spans="2:8" x14ac:dyDescent="0.25">
      <c r="B266" s="554" t="str">
        <f t="shared" ca="1" si="4"/>
        <v>Minder-
gewichtung</v>
      </c>
      <c r="C266" s="542" t="s">
        <v>114</v>
      </c>
      <c r="D266" s="1" t="s">
        <v>696</v>
      </c>
      <c r="E266" s="1" t="s">
        <v>844</v>
      </c>
      <c r="F266" s="1" t="s">
        <v>838</v>
      </c>
      <c r="G266" s="1" t="s">
        <v>756</v>
      </c>
      <c r="H266" s="1" t="s">
        <v>114</v>
      </c>
    </row>
    <row r="267" spans="2:8" x14ac:dyDescent="0.25">
      <c r="B267" s="554" t="str">
        <f t="shared" ca="1" si="4"/>
        <v>Gewichtete
Boxen-
gewinne</v>
      </c>
      <c r="C267" s="542" t="s">
        <v>114</v>
      </c>
      <c r="D267" s="1" t="s">
        <v>654</v>
      </c>
      <c r="E267" s="1" t="s">
        <v>845</v>
      </c>
      <c r="F267" s="1" t="s">
        <v>839</v>
      </c>
      <c r="G267" s="1" t="s">
        <v>757</v>
      </c>
      <c r="H267" s="1" t="s">
        <v>114</v>
      </c>
    </row>
    <row r="268" spans="2:8" x14ac:dyDescent="0.25">
      <c r="B268" s="554" t="str">
        <f t="shared" ca="1" si="4"/>
        <v>Zeta-2*</v>
      </c>
      <c r="C268" s="542" t="s">
        <v>114</v>
      </c>
      <c r="D268" s="1" t="s">
        <v>640</v>
      </c>
      <c r="E268" s="1" t="s">
        <v>688</v>
      </c>
      <c r="F268" s="1" t="s">
        <v>640</v>
      </c>
      <c r="G268" s="1" t="s">
        <v>640</v>
      </c>
      <c r="H268" s="1" t="s">
        <v>114</v>
      </c>
    </row>
    <row r="269" spans="2:8" x14ac:dyDescent="0.25">
      <c r="B269" s="554" t="str">
        <f t="shared" ca="1" si="4"/>
        <v>K(Total) / I(Total)</v>
      </c>
      <c r="C269" s="542" t="s">
        <v>114</v>
      </c>
      <c r="D269" s="1" t="s">
        <v>672</v>
      </c>
      <c r="E269" s="1" t="s">
        <v>758</v>
      </c>
      <c r="F269" s="1" t="s">
        <v>809</v>
      </c>
      <c r="G269" s="1" t="s">
        <v>758</v>
      </c>
      <c r="H269" s="1" t="s">
        <v>114</v>
      </c>
    </row>
    <row r="270" spans="2:8" x14ac:dyDescent="0.25">
      <c r="B270" s="554" t="str">
        <f t="shared" ca="1" si="4"/>
        <v>Berechnung Zeta-2</v>
      </c>
      <c r="C270" s="542" t="s">
        <v>114</v>
      </c>
      <c r="D270" s="1" t="s">
        <v>637</v>
      </c>
      <c r="E270" s="1" t="s">
        <v>682</v>
      </c>
      <c r="F270" s="1" t="s">
        <v>683</v>
      </c>
      <c r="G270" s="1" t="s">
        <v>684</v>
      </c>
      <c r="H270" s="1" t="s">
        <v>114</v>
      </c>
    </row>
    <row r="271" spans="2:8" x14ac:dyDescent="0.25">
      <c r="B271" s="554" t="str">
        <f t="shared" ca="1" si="4"/>
        <v>Fiskaleinnahmen juristische Personen</v>
      </c>
      <c r="C271" s="542" t="s">
        <v>114</v>
      </c>
      <c r="D271" s="1" t="s">
        <v>655</v>
      </c>
      <c r="E271" s="1" t="s">
        <v>846</v>
      </c>
      <c r="F271" s="1" t="s">
        <v>810</v>
      </c>
      <c r="G271" s="1" t="s">
        <v>759</v>
      </c>
      <c r="H271" s="1" t="s">
        <v>114</v>
      </c>
    </row>
    <row r="272" spans="2:8" x14ac:dyDescent="0.25">
      <c r="B272" s="554" t="str">
        <f t="shared" ca="1" si="4"/>
        <v>Ordentliche Gewinne</v>
      </c>
      <c r="C272" s="542" t="s">
        <v>114</v>
      </c>
      <c r="D272" s="1" t="s">
        <v>641</v>
      </c>
      <c r="E272" s="1" t="s">
        <v>678</v>
      </c>
      <c r="F272" s="1" t="s">
        <v>811</v>
      </c>
      <c r="G272" s="1" t="s">
        <v>760</v>
      </c>
      <c r="H272" s="1" t="s">
        <v>114</v>
      </c>
    </row>
    <row r="273" spans="2:8" x14ac:dyDescent="0.25">
      <c r="B273" s="554" t="str">
        <f t="shared" ca="1" si="4"/>
        <v>Boxengewinne</v>
      </c>
      <c r="C273" s="542" t="s">
        <v>114</v>
      </c>
      <c r="D273" s="1" t="s">
        <v>639</v>
      </c>
      <c r="E273" s="1" t="s">
        <v>677</v>
      </c>
      <c r="F273" s="1" t="s">
        <v>808</v>
      </c>
      <c r="G273" s="1" t="s">
        <v>755</v>
      </c>
      <c r="H273" s="1" t="s">
        <v>114</v>
      </c>
    </row>
    <row r="274" spans="2:8" x14ac:dyDescent="0.25">
      <c r="B274" s="554" t="str">
        <f t="shared" ca="1" si="4"/>
        <v>Gewinnsteuereinnahmen Kantone und Gemeinden</v>
      </c>
      <c r="C274" s="542" t="s">
        <v>114</v>
      </c>
      <c r="D274" s="1" t="s">
        <v>704</v>
      </c>
      <c r="E274" s="1" t="s">
        <v>847</v>
      </c>
      <c r="F274" s="1" t="s">
        <v>812</v>
      </c>
      <c r="G274" s="1" t="s">
        <v>761</v>
      </c>
      <c r="H274" s="1" t="s">
        <v>114</v>
      </c>
    </row>
    <row r="275" spans="2:8" x14ac:dyDescent="0.25">
      <c r="B275" s="554" t="str">
        <f t="shared" ca="1" si="4"/>
        <v xml:space="preserve">Gewinnsteuereinnahmen DBSt </v>
      </c>
      <c r="C275" s="542" t="s">
        <v>114</v>
      </c>
      <c r="D275" s="1" t="s">
        <v>706</v>
      </c>
      <c r="E275" s="1" t="s">
        <v>848</v>
      </c>
      <c r="F275" s="1" t="s">
        <v>813</v>
      </c>
      <c r="G275" s="1" t="s">
        <v>762</v>
      </c>
      <c r="H275" s="1" t="s">
        <v>114</v>
      </c>
    </row>
    <row r="276" spans="2:8" x14ac:dyDescent="0.25">
      <c r="B276" s="554" t="str">
        <f t="shared" ca="1" si="4"/>
        <v>Kantonsanteil an DBSt</v>
      </c>
      <c r="C276" s="542" t="s">
        <v>114</v>
      </c>
      <c r="D276" s="1" t="s">
        <v>707</v>
      </c>
      <c r="E276" s="1" t="s">
        <v>585</v>
      </c>
      <c r="F276" s="1" t="s">
        <v>543</v>
      </c>
      <c r="G276" s="1" t="s">
        <v>544</v>
      </c>
      <c r="H276" s="1" t="s">
        <v>114</v>
      </c>
    </row>
    <row r="277" spans="2:8" x14ac:dyDescent="0.25">
      <c r="B277" s="554" t="str">
        <f t="shared" ca="1" si="4"/>
        <v>Kantonsanteil an Gewinnsteuereinnahmen DBSt</v>
      </c>
      <c r="C277" s="542" t="s">
        <v>114</v>
      </c>
      <c r="D277" s="1" t="s">
        <v>705</v>
      </c>
      <c r="E277" s="1" t="s">
        <v>849</v>
      </c>
      <c r="F277" s="1" t="s">
        <v>814</v>
      </c>
      <c r="G277" s="1" t="s">
        <v>763</v>
      </c>
      <c r="H277" s="1" t="s">
        <v>114</v>
      </c>
    </row>
    <row r="278" spans="2:8" x14ac:dyDescent="0.25">
      <c r="B278" s="554" t="str">
        <f t="shared" ca="1" si="4"/>
        <v>Gewinnsteuereinnahmen total Kantone und Gemeinden</v>
      </c>
      <c r="C278" s="542" t="s">
        <v>114</v>
      </c>
      <c r="D278" s="1" t="s">
        <v>708</v>
      </c>
      <c r="E278" s="1" t="s">
        <v>850</v>
      </c>
      <c r="F278" s="1" t="s">
        <v>815</v>
      </c>
      <c r="G278" s="1" t="s">
        <v>764</v>
      </c>
      <c r="H278" s="1" t="s">
        <v>114</v>
      </c>
    </row>
    <row r="279" spans="2:8" x14ac:dyDescent="0.25">
      <c r="B279" s="554" t="str">
        <f t="shared" ca="1" si="4"/>
        <v>Berechnung</v>
      </c>
      <c r="C279" s="542" t="s">
        <v>114</v>
      </c>
      <c r="D279" s="1" t="s">
        <v>659</v>
      </c>
      <c r="E279" s="1" t="s">
        <v>689</v>
      </c>
      <c r="F279" s="1" t="s">
        <v>690</v>
      </c>
      <c r="G279" s="1" t="s">
        <v>691</v>
      </c>
      <c r="H279" s="1" t="s">
        <v>114</v>
      </c>
    </row>
    <row r="280" spans="2:8" x14ac:dyDescent="0.25">
      <c r="B280" s="554" t="str">
        <f t="shared" ca="1" si="4"/>
        <v>Zeta-2 (ohne Berücksichtigung der Bandbreiten)</v>
      </c>
      <c r="C280" s="542" t="s">
        <v>114</v>
      </c>
      <c r="D280" s="1" t="s">
        <v>643</v>
      </c>
      <c r="E280" s="1" t="s">
        <v>851</v>
      </c>
      <c r="F280" s="1" t="s">
        <v>816</v>
      </c>
      <c r="G280" s="1" t="s">
        <v>765</v>
      </c>
      <c r="H280" s="1" t="s">
        <v>114</v>
      </c>
    </row>
    <row r="281" spans="2:8" x14ac:dyDescent="0.25">
      <c r="B281" s="554" t="str">
        <f t="shared" ca="1" si="4"/>
        <v>Bandbreite von Zeta-2</v>
      </c>
      <c r="C281" s="542" t="s">
        <v>114</v>
      </c>
      <c r="D281" s="1" t="s">
        <v>644</v>
      </c>
      <c r="E281" s="1" t="s">
        <v>852</v>
      </c>
      <c r="F281" s="1" t="s">
        <v>817</v>
      </c>
      <c r="G281" s="1" t="s">
        <v>766</v>
      </c>
      <c r="H281" s="1" t="s">
        <v>114</v>
      </c>
    </row>
    <row r="282" spans="2:8" x14ac:dyDescent="0.25">
      <c r="B282" s="554" t="str">
        <f t="shared" ca="1" si="4"/>
        <v>Obere Grenze der Bandbreite (Art. 57d Abs. 2 Bst. b FiLaV)</v>
      </c>
      <c r="C282" s="542" t="s">
        <v>114</v>
      </c>
      <c r="D282" s="1" t="s">
        <v>645</v>
      </c>
      <c r="E282" s="1" t="s">
        <v>853</v>
      </c>
      <c r="F282" s="1" t="s">
        <v>818</v>
      </c>
      <c r="G282" s="1" t="s">
        <v>767</v>
      </c>
      <c r="H282" s="1" t="s">
        <v>114</v>
      </c>
    </row>
    <row r="283" spans="2:8" x14ac:dyDescent="0.25">
      <c r="B283" s="554" t="str">
        <f t="shared" ca="1" si="4"/>
        <v>Untere Grenze der Bandbreite (Art. 57d Abs. 2 Bst. b FiLaV)</v>
      </c>
      <c r="C283" s="542" t="s">
        <v>114</v>
      </c>
      <c r="D283" s="1" t="s">
        <v>646</v>
      </c>
      <c r="E283" s="1" t="s">
        <v>854</v>
      </c>
      <c r="F283" s="1" t="s">
        <v>819</v>
      </c>
      <c r="G283" s="1" t="s">
        <v>768</v>
      </c>
      <c r="H283" s="1" t="s">
        <v>114</v>
      </c>
    </row>
    <row r="284" spans="2:8" x14ac:dyDescent="0.25">
      <c r="B284" s="554" t="str">
        <f t="shared" ca="1" si="4"/>
        <v>Zeta-2</v>
      </c>
      <c r="C284" s="542" t="s">
        <v>114</v>
      </c>
      <c r="D284" s="1" t="s">
        <v>633</v>
      </c>
      <c r="E284" s="1" t="s">
        <v>676</v>
      </c>
      <c r="F284" s="1" t="s">
        <v>633</v>
      </c>
      <c r="G284" s="1" t="s">
        <v>633</v>
      </c>
      <c r="H284" s="1" t="s">
        <v>114</v>
      </c>
    </row>
    <row r="285" spans="2:8" x14ac:dyDescent="0.25">
      <c r="B285" s="554" t="str">
        <f t="shared" ca="1" si="4"/>
        <v>Berechnung Zeta-1</v>
      </c>
      <c r="C285" s="542" t="s">
        <v>114</v>
      </c>
      <c r="D285" s="1" t="s">
        <v>638</v>
      </c>
      <c r="E285" s="1" t="s">
        <v>685</v>
      </c>
      <c r="F285" s="1" t="s">
        <v>687</v>
      </c>
      <c r="G285" s="1" t="s">
        <v>686</v>
      </c>
      <c r="H285" s="1" t="s">
        <v>114</v>
      </c>
    </row>
    <row r="286" spans="2:8" x14ac:dyDescent="0.25">
      <c r="B286" s="554" t="str">
        <f t="shared" ca="1" si="4"/>
        <v>Ausschöpfung juristischer Personen (JP)</v>
      </c>
      <c r="C286" s="542" t="s">
        <v>114</v>
      </c>
      <c r="D286" s="1" t="s">
        <v>735</v>
      </c>
      <c r="E286" s="1" t="s">
        <v>872</v>
      </c>
      <c r="F286" s="1" t="s">
        <v>820</v>
      </c>
      <c r="G286" s="1" t="s">
        <v>903</v>
      </c>
      <c r="H286" s="1" t="s">
        <v>114</v>
      </c>
    </row>
    <row r="287" spans="2:8" x14ac:dyDescent="0.25">
      <c r="B287" s="554" t="str">
        <f t="shared" ca="1" si="4"/>
        <v>Forschungs- und Entwicklungsaufwand</v>
      </c>
      <c r="C287" s="542" t="s">
        <v>114</v>
      </c>
      <c r="D287" s="1" t="s">
        <v>710</v>
      </c>
      <c r="E287" s="1" t="s">
        <v>855</v>
      </c>
      <c r="F287" s="1" t="s">
        <v>821</v>
      </c>
      <c r="G287" s="1" t="s">
        <v>769</v>
      </c>
      <c r="H287" s="1" t="s">
        <v>114</v>
      </c>
    </row>
    <row r="288" spans="2:8" x14ac:dyDescent="0.25">
      <c r="B288" s="554" t="str">
        <f t="shared" ca="1" si="4"/>
        <v>Massgebendes Potenzial JP</v>
      </c>
      <c r="C288" s="542" t="s">
        <v>114</v>
      </c>
      <c r="D288" s="1" t="s">
        <v>745</v>
      </c>
      <c r="E288" s="1" t="s">
        <v>874</v>
      </c>
      <c r="F288" s="1" t="s">
        <v>822</v>
      </c>
      <c r="G288" s="1" t="s">
        <v>770</v>
      </c>
      <c r="H288" s="1" t="s">
        <v>114</v>
      </c>
    </row>
    <row r="289" spans="2:8" x14ac:dyDescent="0.25">
      <c r="B289" s="554" t="str">
        <f t="shared" ca="1" si="4"/>
        <v>Ausschöpfung JP</v>
      </c>
      <c r="C289" s="542" t="s">
        <v>114</v>
      </c>
      <c r="D289" s="1" t="s">
        <v>642</v>
      </c>
      <c r="E289" s="1" t="s">
        <v>873</v>
      </c>
      <c r="F289" s="1" t="s">
        <v>823</v>
      </c>
      <c r="G289" s="1" t="s">
        <v>904</v>
      </c>
      <c r="H289" s="1" t="s">
        <v>114</v>
      </c>
    </row>
    <row r="290" spans="2:8" x14ac:dyDescent="0.25">
      <c r="B290" s="554" t="str">
        <f t="shared" ca="1" si="4"/>
        <v>Fiskaleinnahmen natürliche Personen (NP)</v>
      </c>
      <c r="C290" s="542" t="s">
        <v>114</v>
      </c>
      <c r="D290" s="1" t="s">
        <v>736</v>
      </c>
      <c r="E290" s="1" t="s">
        <v>875</v>
      </c>
      <c r="F290" s="1" t="s">
        <v>824</v>
      </c>
      <c r="G290" s="1" t="s">
        <v>771</v>
      </c>
      <c r="H290" s="1" t="s">
        <v>114</v>
      </c>
    </row>
    <row r="291" spans="2:8" x14ac:dyDescent="0.25">
      <c r="B291" s="554" t="str">
        <f t="shared" ca="1" si="4"/>
        <v>Einkommenssteuern Kantone und Gemeinden</v>
      </c>
      <c r="C291" s="542" t="s">
        <v>114</v>
      </c>
      <c r="D291" s="1" t="s">
        <v>711</v>
      </c>
      <c r="E291" s="1" t="s">
        <v>856</v>
      </c>
      <c r="F291" s="1" t="s">
        <v>825</v>
      </c>
      <c r="G291" s="1" t="s">
        <v>772</v>
      </c>
      <c r="H291" s="1" t="s">
        <v>114</v>
      </c>
    </row>
    <row r="292" spans="2:8" x14ac:dyDescent="0.25">
      <c r="B292" s="554" t="str">
        <f t="shared" ca="1" si="4"/>
        <v>Einkommenssteuern DBSt</v>
      </c>
      <c r="C292" s="542" t="s">
        <v>114</v>
      </c>
      <c r="D292" s="1" t="s">
        <v>712</v>
      </c>
      <c r="E292" s="1" t="s">
        <v>857</v>
      </c>
      <c r="F292" s="1" t="s">
        <v>826</v>
      </c>
      <c r="G292" s="1" t="s">
        <v>773</v>
      </c>
      <c r="H292" s="1" t="s">
        <v>114</v>
      </c>
    </row>
    <row r="293" spans="2:8" x14ac:dyDescent="0.25">
      <c r="B293" s="554" t="str">
        <f t="shared" ca="1" si="4"/>
        <v>Kantonsanteil an Einkommenssteuern DBSt</v>
      </c>
      <c r="C293" s="542" t="s">
        <v>114</v>
      </c>
      <c r="D293" s="1" t="s">
        <v>713</v>
      </c>
      <c r="E293" s="1" t="s">
        <v>858</v>
      </c>
      <c r="F293" s="1" t="s">
        <v>827</v>
      </c>
      <c r="G293" s="1" t="s">
        <v>774</v>
      </c>
      <c r="H293" s="1" t="s">
        <v>114</v>
      </c>
    </row>
    <row r="294" spans="2:8" x14ac:dyDescent="0.25">
      <c r="B294" s="554" t="str">
        <f t="shared" ca="1" si="4"/>
        <v>Vermögenssteuern Kantone und Gemeinden</v>
      </c>
      <c r="C294" s="542" t="s">
        <v>114</v>
      </c>
      <c r="D294" s="1" t="s">
        <v>714</v>
      </c>
      <c r="E294" s="1" t="s">
        <v>859</v>
      </c>
      <c r="F294" s="1" t="s">
        <v>828</v>
      </c>
      <c r="G294" s="1" t="s">
        <v>775</v>
      </c>
      <c r="H294" s="1" t="s">
        <v>114</v>
      </c>
    </row>
    <row r="295" spans="2:8" x14ac:dyDescent="0.25">
      <c r="B295" s="554" t="str">
        <f t="shared" ca="1" si="4"/>
        <v>Quellensteuern Kantone und Gemeinden</v>
      </c>
      <c r="C295" s="542" t="s">
        <v>114</v>
      </c>
      <c r="D295" s="1" t="s">
        <v>715</v>
      </c>
      <c r="E295" s="1" t="s">
        <v>860</v>
      </c>
      <c r="F295" s="1" t="s">
        <v>829</v>
      </c>
      <c r="G295" s="1" t="s">
        <v>776</v>
      </c>
      <c r="H295" s="1" t="s">
        <v>114</v>
      </c>
    </row>
    <row r="296" spans="2:8" x14ac:dyDescent="0.25">
      <c r="B296" s="554" t="str">
        <f t="shared" ca="1" si="4"/>
        <v>Fiskaleinnahmen NP total Kantone und Gemeinden</v>
      </c>
      <c r="C296" s="542" t="s">
        <v>114</v>
      </c>
      <c r="D296" s="1" t="s">
        <v>716</v>
      </c>
      <c r="E296" s="1" t="s">
        <v>878</v>
      </c>
      <c r="F296" s="1" t="s">
        <v>830</v>
      </c>
      <c r="G296" s="1" t="s">
        <v>777</v>
      </c>
      <c r="H296" s="1" t="s">
        <v>114</v>
      </c>
    </row>
    <row r="297" spans="2:8" x14ac:dyDescent="0.25">
      <c r="B297" s="554" t="str">
        <f t="shared" ca="1" si="4"/>
        <v>Ausschöpfung natürlicher Personen</v>
      </c>
      <c r="C297" s="542" t="s">
        <v>114</v>
      </c>
      <c r="D297" s="1" t="s">
        <v>647</v>
      </c>
      <c r="E297" s="1" t="s">
        <v>861</v>
      </c>
      <c r="F297" s="1" t="s">
        <v>888</v>
      </c>
      <c r="G297" s="1" t="s">
        <v>905</v>
      </c>
      <c r="H297" s="1" t="s">
        <v>114</v>
      </c>
    </row>
    <row r="298" spans="2:8" x14ac:dyDescent="0.25">
      <c r="B298" s="554" t="str">
        <f t="shared" ca="1" si="4"/>
        <v>Massgebende Einkommen</v>
      </c>
      <c r="C298" s="542" t="s">
        <v>114</v>
      </c>
      <c r="D298" s="1" t="s">
        <v>495</v>
      </c>
      <c r="E298" s="1" t="s">
        <v>862</v>
      </c>
      <c r="F298" s="1" t="s">
        <v>831</v>
      </c>
      <c r="G298" s="1" t="s">
        <v>573</v>
      </c>
      <c r="H298" s="1" t="s">
        <v>114</v>
      </c>
    </row>
    <row r="299" spans="2:8" x14ac:dyDescent="0.25">
      <c r="B299" s="554" t="str">
        <f t="shared" ca="1" si="4"/>
        <v>Massgebende quellenbesteuerte Einkommen</v>
      </c>
      <c r="C299" s="542" t="s">
        <v>114</v>
      </c>
      <c r="D299" s="1" t="s">
        <v>376</v>
      </c>
      <c r="E299" s="1" t="s">
        <v>212</v>
      </c>
      <c r="F299" s="1" t="s">
        <v>321</v>
      </c>
      <c r="G299" s="1" t="s">
        <v>221</v>
      </c>
      <c r="H299" s="1" t="s">
        <v>114</v>
      </c>
    </row>
    <row r="300" spans="2:8" x14ac:dyDescent="0.25">
      <c r="B300" s="554" t="str">
        <f t="shared" ca="1" si="4"/>
        <v>Massgebende Vermögen</v>
      </c>
      <c r="C300" s="542" t="s">
        <v>114</v>
      </c>
      <c r="D300" s="1" t="s">
        <v>717</v>
      </c>
      <c r="E300" s="1" t="s">
        <v>863</v>
      </c>
      <c r="F300" s="1" t="s">
        <v>832</v>
      </c>
      <c r="G300" s="1" t="s">
        <v>778</v>
      </c>
      <c r="H300" s="1" t="s">
        <v>114</v>
      </c>
    </row>
    <row r="301" spans="2:8" x14ac:dyDescent="0.25">
      <c r="B301" s="554" t="str">
        <f t="shared" ca="1" si="4"/>
        <v>Massgebendes Potenzial NP</v>
      </c>
      <c r="C301" s="542" t="s">
        <v>114</v>
      </c>
      <c r="D301" s="1" t="s">
        <v>703</v>
      </c>
      <c r="E301" s="1" t="s">
        <v>876</v>
      </c>
      <c r="F301" s="1" t="s">
        <v>833</v>
      </c>
      <c r="G301" s="1" t="s">
        <v>779</v>
      </c>
      <c r="H301" s="1" t="s">
        <v>114</v>
      </c>
    </row>
    <row r="302" spans="2:8" x14ac:dyDescent="0.25">
      <c r="B302" s="554" t="str">
        <f t="shared" ca="1" si="4"/>
        <v>Ausschöpfung NP</v>
      </c>
      <c r="C302" s="542" t="s">
        <v>114</v>
      </c>
      <c r="D302" s="1" t="s">
        <v>648</v>
      </c>
      <c r="E302" s="1" t="s">
        <v>877</v>
      </c>
      <c r="F302" s="1" t="s">
        <v>834</v>
      </c>
      <c r="G302" s="1" t="s">
        <v>906</v>
      </c>
      <c r="H302" s="1" t="s">
        <v>114</v>
      </c>
    </row>
    <row r="303" spans="2:8" x14ac:dyDescent="0.25">
      <c r="B303" s="554" t="str">
        <f t="shared" ca="1" si="4"/>
        <v>Zeta-1 (ohne Berücksichtigung der Bandbreiten)</v>
      </c>
      <c r="C303" s="542" t="s">
        <v>114</v>
      </c>
      <c r="D303" s="1" t="s">
        <v>649</v>
      </c>
      <c r="E303" s="1" t="s">
        <v>864</v>
      </c>
      <c r="F303" s="1" t="s">
        <v>835</v>
      </c>
      <c r="G303" s="1" t="s">
        <v>780</v>
      </c>
      <c r="H303" s="1" t="s">
        <v>114</v>
      </c>
    </row>
    <row r="304" spans="2:8" x14ac:dyDescent="0.25">
      <c r="B304" s="554" t="str">
        <f t="shared" ca="1" si="4"/>
        <v>Bandbreite von Zeta-1</v>
      </c>
      <c r="C304" s="542" t="s">
        <v>114</v>
      </c>
      <c r="D304" s="1" t="s">
        <v>650</v>
      </c>
      <c r="E304" s="1" t="s">
        <v>865</v>
      </c>
      <c r="F304" s="1" t="s">
        <v>836</v>
      </c>
      <c r="G304" s="1" t="s">
        <v>781</v>
      </c>
      <c r="H304" s="1" t="s">
        <v>114</v>
      </c>
    </row>
    <row r="305" spans="2:8" x14ac:dyDescent="0.25">
      <c r="B305" s="554" t="str">
        <f t="shared" ca="1" si="4"/>
        <v>Obere Grenze der Bandbreite (Art. 57d Abs. 2 Bst. a FiLaV)</v>
      </c>
      <c r="C305" s="542" t="s">
        <v>114</v>
      </c>
      <c r="D305" s="1" t="s">
        <v>651</v>
      </c>
      <c r="E305" s="1" t="s">
        <v>866</v>
      </c>
      <c r="F305" s="1" t="s">
        <v>818</v>
      </c>
      <c r="G305" s="1" t="s">
        <v>782</v>
      </c>
      <c r="H305" s="1" t="s">
        <v>114</v>
      </c>
    </row>
    <row r="306" spans="2:8" x14ac:dyDescent="0.25">
      <c r="B306" s="554" t="str">
        <f t="shared" ca="1" si="4"/>
        <v>Untere Grenze der Bandbreite (Art. 57d Abs. 2 Bst. a FiLaV)</v>
      </c>
      <c r="C306" s="542" t="s">
        <v>114</v>
      </c>
      <c r="D306" s="1" t="s">
        <v>652</v>
      </c>
      <c r="E306" s="1" t="s">
        <v>867</v>
      </c>
      <c r="F306" s="1" t="s">
        <v>819</v>
      </c>
      <c r="G306" s="1" t="s">
        <v>783</v>
      </c>
      <c r="H306" s="1" t="s">
        <v>114</v>
      </c>
    </row>
    <row r="307" spans="2:8" x14ac:dyDescent="0.25">
      <c r="B307" s="555" t="str">
        <f t="shared" ca="1" si="4"/>
        <v>Zeta-1</v>
      </c>
      <c r="C307" s="542" t="s">
        <v>114</v>
      </c>
      <c r="D307" s="1" t="s">
        <v>632</v>
      </c>
      <c r="E307" s="1" t="s">
        <v>675</v>
      </c>
      <c r="F307" s="1" t="s">
        <v>632</v>
      </c>
      <c r="G307" s="1" t="s">
        <v>632</v>
      </c>
      <c r="H307" s="1" t="s">
        <v>114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37"/>
  <sheetViews>
    <sheetView showGridLines="0" zoomScaleNormal="100" workbookViewId="0">
      <selection activeCell="A50" sqref="A50"/>
    </sheetView>
  </sheetViews>
  <sheetFormatPr baseColWidth="10" defaultRowHeight="13.2" x14ac:dyDescent="0.25"/>
  <cols>
    <col min="1" max="1" width="3.5546875" customWidth="1"/>
    <col min="2" max="2" width="17.33203125" customWidth="1"/>
    <col min="3" max="6" width="16.6640625" customWidth="1"/>
    <col min="7" max="7" width="3.5546875" customWidth="1"/>
    <col min="8" max="8" width="11.44140625" customWidth="1"/>
  </cols>
  <sheetData>
    <row r="1" spans="1:7" ht="48" customHeight="1" x14ac:dyDescent="0.25"/>
    <row r="2" spans="1:7" ht="28.5" customHeight="1" x14ac:dyDescent="0.25">
      <c r="A2" s="18"/>
      <c r="B2" s="568" t="str">
        <f ca="1">DFIE!$B$76</f>
        <v>Zahlungen im</v>
      </c>
      <c r="C2" s="568"/>
      <c r="D2" s="568"/>
      <c r="E2" s="568"/>
      <c r="F2" s="568"/>
      <c r="G2" s="18"/>
    </row>
    <row r="3" spans="1:7" ht="27.75" customHeight="1" x14ac:dyDescent="0.25">
      <c r="A3" s="19"/>
      <c r="B3" s="569" t="str">
        <f ca="1">DFIE!$B$77</f>
        <v>Ressourcenausgleich 2026</v>
      </c>
      <c r="C3" s="569"/>
      <c r="D3" s="569"/>
      <c r="E3" s="569"/>
      <c r="F3" s="569"/>
      <c r="G3" s="19"/>
    </row>
    <row r="4" spans="1:7" ht="24" customHeight="1" x14ac:dyDescent="0.25"/>
    <row r="5" spans="1:7" ht="24" customHeight="1" x14ac:dyDescent="0.25"/>
    <row r="6" spans="1:7" x14ac:dyDescent="0.25">
      <c r="B6" s="17" t="str">
        <f ca="1">DFIE!$B$78</f>
        <v>(+) Einzahlungen; (-) Auszahlungen in CHF</v>
      </c>
    </row>
    <row r="7" spans="1:7" ht="24" customHeight="1" x14ac:dyDescent="0.25">
      <c r="B7" s="573"/>
      <c r="C7" s="575" t="str">
        <f ca="1">DFIE!$B$79</f>
        <v>Ressourcen-
index</v>
      </c>
      <c r="D7" s="571" t="str">
        <f ca="1">DFIE!$B$80</f>
        <v>Ausgleichszahlungen</v>
      </c>
      <c r="E7" s="572"/>
      <c r="F7" s="575" t="str">
        <f ca="1">DFIE!$B$82</f>
        <v>Index SSE
nach
Ausgleich</v>
      </c>
    </row>
    <row r="8" spans="1:7" ht="24" customHeight="1" x14ac:dyDescent="0.25">
      <c r="B8" s="574"/>
      <c r="C8" s="576"/>
      <c r="D8" s="27" t="str">
        <f ca="1">DFIE!$B$68</f>
        <v>Total</v>
      </c>
      <c r="E8" s="27" t="str">
        <f ca="1">DFIE!$B$81</f>
        <v>Pro Einwohner</v>
      </c>
      <c r="F8" s="576"/>
    </row>
    <row r="9" spans="1:7" x14ac:dyDescent="0.25">
      <c r="B9" s="31" t="str">
        <f ca="1">DFIE!$B$32</f>
        <v>Zürich</v>
      </c>
      <c r="C9" s="32">
        <f>RP!I9</f>
        <v>116.70964252786342</v>
      </c>
      <c r="D9" s="28">
        <f>SUM(EINZ!G9,-AUSZ!G9)</f>
        <v>502525844.46671909</v>
      </c>
      <c r="E9" s="33">
        <f>-SSE!G9</f>
        <v>320.15815602636889</v>
      </c>
      <c r="F9" s="32">
        <f>SSE!$I9</f>
        <v>113.51181096055161</v>
      </c>
    </row>
    <row r="10" spans="1:7" x14ac:dyDescent="0.25">
      <c r="B10" s="16" t="str">
        <f ca="1">DFIE!$B$33</f>
        <v>Bern</v>
      </c>
      <c r="C10" s="24">
        <f>RP!I10</f>
        <v>72.367453705529144</v>
      </c>
      <c r="D10" s="29">
        <f>SUM(EINZ!G10,-AUSZ!G10)</f>
        <v>-1519687389.6670957</v>
      </c>
      <c r="E10" s="21">
        <f>-SSE!G10</f>
        <v>-1444.0232202993152</v>
      </c>
      <c r="F10" s="24">
        <f>SSE!$I10</f>
        <v>86.790772152628648</v>
      </c>
    </row>
    <row r="11" spans="1:7" x14ac:dyDescent="0.25">
      <c r="B11" s="15" t="str">
        <f ca="1">DFIE!$B$34</f>
        <v>Luzern</v>
      </c>
      <c r="C11" s="23">
        <f>RP!I11</f>
        <v>91.816785302361296</v>
      </c>
      <c r="D11" s="30">
        <f>SUM(EINZ!G11,-AUSZ!G11)</f>
        <v>-83117598.726136446</v>
      </c>
      <c r="E11" s="20">
        <f>-SSE!G11</f>
        <v>-197.13374323284594</v>
      </c>
      <c r="F11" s="23">
        <f>SSE!$I11</f>
        <v>93.785813719180496</v>
      </c>
    </row>
    <row r="12" spans="1:7" x14ac:dyDescent="0.25">
      <c r="B12" s="16" t="str">
        <f ca="1">DFIE!$B$35</f>
        <v>Uri</v>
      </c>
      <c r="C12" s="24">
        <f>RP!I12</f>
        <v>70.029031395155158</v>
      </c>
      <c r="D12" s="29">
        <f>SUM(EINZ!G12,-AUSZ!G12)</f>
        <v>-61483344.148688912</v>
      </c>
      <c r="E12" s="21">
        <f>-SSE!G12</f>
        <v>-1649.3198172833552</v>
      </c>
      <c r="F12" s="24">
        <f>SSE!$I12</f>
        <v>86.502911185577716</v>
      </c>
    </row>
    <row r="13" spans="1:7" x14ac:dyDescent="0.25">
      <c r="B13" s="15" t="str">
        <f ca="1">DFIE!$B$36</f>
        <v>Schwyz</v>
      </c>
      <c r="C13" s="23">
        <f>RP!I13</f>
        <v>185.74011499041171</v>
      </c>
      <c r="D13" s="30">
        <f>SUM(EINZ!G13,-AUSZ!G13)</f>
        <v>268984326.8261587</v>
      </c>
      <c r="E13" s="20">
        <f>-SSE!G13</f>
        <v>1642.7878135062049</v>
      </c>
      <c r="F13" s="23">
        <f>SSE!$I13</f>
        <v>169.33147872879897</v>
      </c>
    </row>
    <row r="14" spans="1:7" x14ac:dyDescent="0.25">
      <c r="B14" s="16" t="str">
        <f ca="1">DFIE!$B$37</f>
        <v>Obwalden</v>
      </c>
      <c r="C14" s="24">
        <f>RP!I14</f>
        <v>107.47737344479098</v>
      </c>
      <c r="D14" s="29">
        <f>SUM(EINZ!G14,-AUSZ!G14)</f>
        <v>5542168.5293630697</v>
      </c>
      <c r="E14" s="21">
        <f>-SSE!G14</f>
        <v>143.26710400973016</v>
      </c>
      <c r="F14" s="24">
        <f>SSE!$I14</f>
        <v>106.04638048354367</v>
      </c>
    </row>
    <row r="15" spans="1:7" x14ac:dyDescent="0.25">
      <c r="B15" s="15" t="str">
        <f ca="1">DFIE!$B$38</f>
        <v>Nidwalden</v>
      </c>
      <c r="C15" s="23">
        <f>RP!I15</f>
        <v>157.53900438761849</v>
      </c>
      <c r="D15" s="30">
        <f>SUM(EINZ!G15,-AUSZ!G15)</f>
        <v>48469676.821227893</v>
      </c>
      <c r="E15" s="20">
        <f>-SSE!G15</f>
        <v>1102.452162792531</v>
      </c>
      <c r="F15" s="23">
        <f>SSE!$I15</f>
        <v>146.52739571462627</v>
      </c>
    </row>
    <row r="16" spans="1:7" x14ac:dyDescent="0.25">
      <c r="B16" s="16" t="str">
        <f ca="1">DFIE!$B$39</f>
        <v>Glarus</v>
      </c>
      <c r="C16" s="24">
        <f>RP!I16</f>
        <v>71.174678456598144</v>
      </c>
      <c r="D16" s="29">
        <f>SUM(EINZ!G16,-AUSZ!G16)</f>
        <v>-64080514.275273405</v>
      </c>
      <c r="E16" s="21">
        <f>-SSE!G16</f>
        <v>-1547.4149011206289</v>
      </c>
      <c r="F16" s="24">
        <f>SSE!$I16</f>
        <v>86.630702691460229</v>
      </c>
    </row>
    <row r="17" spans="2:6" x14ac:dyDescent="0.25">
      <c r="B17" s="15" t="str">
        <f ca="1">DFIE!$B$40</f>
        <v>Zug</v>
      </c>
      <c r="C17" s="23">
        <f>RP!I17</f>
        <v>286.96675961359279</v>
      </c>
      <c r="D17" s="30">
        <f>SUM(EINZ!G17,-AUSZ!G17)</f>
        <v>468748579.2344833</v>
      </c>
      <c r="E17" s="20">
        <f>-SSE!G17</f>
        <v>3582.2988371114548</v>
      </c>
      <c r="F17" s="23">
        <f>SSE!$I17</f>
        <v>251.18573049023652</v>
      </c>
    </row>
    <row r="18" spans="2:6" x14ac:dyDescent="0.25">
      <c r="B18" s="16" t="str">
        <f ca="1">DFIE!$B$41</f>
        <v>Freiburg</v>
      </c>
      <c r="C18" s="24">
        <f>RP!I18</f>
        <v>71.891665424996631</v>
      </c>
      <c r="D18" s="29">
        <f>SUM(EINZ!G18,-AUSZ!G18)</f>
        <v>-489853767.65309173</v>
      </c>
      <c r="E18" s="21">
        <f>-SSE!G18</f>
        <v>-1484.9318323559921</v>
      </c>
      <c r="F18" s="24">
        <f>SSE!$I18</f>
        <v>86.72359083258533</v>
      </c>
    </row>
    <row r="19" spans="2:6" x14ac:dyDescent="0.25">
      <c r="B19" s="15" t="str">
        <f ca="1">DFIE!$B$42</f>
        <v>Solothurn</v>
      </c>
      <c r="C19" s="23">
        <f>RP!I19</f>
        <v>70.442677020010606</v>
      </c>
      <c r="D19" s="30">
        <f>SUM(EINZ!G19,-AUSZ!G19)</f>
        <v>-453196532.32842565</v>
      </c>
      <c r="E19" s="20">
        <f>-SSE!G19</f>
        <v>-1612.2348608556638</v>
      </c>
      <c r="F19" s="23">
        <f>SSE!$I19</f>
        <v>86.546141619988688</v>
      </c>
    </row>
    <row r="20" spans="2:6" x14ac:dyDescent="0.25">
      <c r="B20" s="16" t="str">
        <f ca="1">DFIE!$B$43</f>
        <v>Basel-Stadt</v>
      </c>
      <c r="C20" s="24">
        <f>RP!I20</f>
        <v>155.90952849505592</v>
      </c>
      <c r="D20" s="29">
        <f>SUM(EINZ!G20,-AUSZ!G20)</f>
        <v>213485500.79356292</v>
      </c>
      <c r="E20" s="21">
        <f>-SSE!G20</f>
        <v>1071.2312676607332</v>
      </c>
      <c r="F20" s="24">
        <f>SSE!$I20</f>
        <v>145.20976308494147</v>
      </c>
    </row>
    <row r="21" spans="2:6" x14ac:dyDescent="0.25">
      <c r="B21" s="15" t="str">
        <f ca="1">DFIE!$B$44</f>
        <v>Basel-Landschaft</v>
      </c>
      <c r="C21" s="23">
        <f>RP!I21</f>
        <v>97.746223253710411</v>
      </c>
      <c r="D21" s="30">
        <f>SUM(EINZ!G21,-AUSZ!G21)</f>
        <v>-7026484.2396208812</v>
      </c>
      <c r="E21" s="20">
        <f>-SSE!G21</f>
        <v>-23.898793373085546</v>
      </c>
      <c r="F21" s="23">
        <f>SSE!$I21</f>
        <v>97.984931262332381</v>
      </c>
    </row>
    <row r="22" spans="2:6" x14ac:dyDescent="0.25">
      <c r="B22" s="16" t="str">
        <f ca="1">DFIE!$B$45</f>
        <v>Schaffhausen</v>
      </c>
      <c r="C22" s="24">
        <f>RP!I22</f>
        <v>108.10767781212986</v>
      </c>
      <c r="D22" s="29">
        <f>SUM(EINZ!G22,-AUSZ!G22)</f>
        <v>13108970.405822016</v>
      </c>
      <c r="E22" s="21">
        <f>-SSE!G22</f>
        <v>155.34378869320471</v>
      </c>
      <c r="F22" s="24">
        <f>SSE!$I22</f>
        <v>106.55605945751883</v>
      </c>
    </row>
    <row r="23" spans="2:6" x14ac:dyDescent="0.25">
      <c r="B23" s="15" t="str">
        <f ca="1">DFIE!$B$46</f>
        <v>Appenzell A.Rh.</v>
      </c>
      <c r="C23" s="23">
        <f>RP!I23</f>
        <v>86.594271033745002</v>
      </c>
      <c r="D23" s="30">
        <f>SUM(EINZ!G23,-AUSZ!G23)</f>
        <v>-24623121.529945064</v>
      </c>
      <c r="E23" s="20">
        <f>-SSE!G23</f>
        <v>-442.12237677886026</v>
      </c>
      <c r="F23" s="23">
        <f>SSE!$I23</f>
        <v>91.01031624910398</v>
      </c>
    </row>
    <row r="24" spans="2:6" x14ac:dyDescent="0.25">
      <c r="B24" s="16" t="str">
        <f ca="1">DFIE!$B$47</f>
        <v>Appenzell I.Rh.</v>
      </c>
      <c r="C24" s="24">
        <f>RP!I24</f>
        <v>103.98039508633433</v>
      </c>
      <c r="D24" s="29">
        <f>SUM(EINZ!G24,-AUSZ!G24)</f>
        <v>1249063.3316821139</v>
      </c>
      <c r="E24" s="21">
        <f>-SSE!G24</f>
        <v>76.26470458432739</v>
      </c>
      <c r="F24" s="24">
        <f>SSE!$I24</f>
        <v>103.21864132432374</v>
      </c>
    </row>
    <row r="25" spans="2:6" x14ac:dyDescent="0.25">
      <c r="B25" s="15" t="str">
        <f ca="1">DFIE!$B$48</f>
        <v>St. Gallen</v>
      </c>
      <c r="C25" s="23">
        <f>RP!I25</f>
        <v>78.537682557570122</v>
      </c>
      <c r="D25" s="30">
        <f>SUM(EINZ!G25,-AUSZ!G25)</f>
        <v>-496921774.72186321</v>
      </c>
      <c r="E25" s="20">
        <f>-SSE!G25</f>
        <v>-954.97633109365825</v>
      </c>
      <c r="F25" s="23">
        <f>SSE!$I25</f>
        <v>88.076260288994391</v>
      </c>
    </row>
    <row r="26" spans="2:6" x14ac:dyDescent="0.25">
      <c r="B26" s="16" t="str">
        <f ca="1">DFIE!$B$49</f>
        <v>Graubünden</v>
      </c>
      <c r="C26" s="24">
        <f>RP!I26</f>
        <v>93.50188577254842</v>
      </c>
      <c r="D26" s="29">
        <f>SUM(EINZ!G26,-AUSZ!G26)</f>
        <v>-28080453.964660343</v>
      </c>
      <c r="E26" s="21">
        <f>-SSE!G26</f>
        <v>-135.17646050714586</v>
      </c>
      <c r="F26" s="24">
        <f>SSE!$I26</f>
        <v>94.852067063983782</v>
      </c>
    </row>
    <row r="27" spans="2:6" x14ac:dyDescent="0.25">
      <c r="B27" s="15" t="str">
        <f ca="1">DFIE!$B$50</f>
        <v>Aargau</v>
      </c>
      <c r="C27" s="23">
        <f>RP!I27</f>
        <v>79.925042406362095</v>
      </c>
      <c r="D27" s="30">
        <f>SUM(EINZ!G27,-AUSZ!G27)</f>
        <v>-602714823.95561671</v>
      </c>
      <c r="E27" s="20">
        <f>-SSE!G27</f>
        <v>-856.05584933051421</v>
      </c>
      <c r="F27" s="23">
        <f>SSE!$I27</f>
        <v>88.475573969723612</v>
      </c>
    </row>
    <row r="28" spans="2:6" x14ac:dyDescent="0.25">
      <c r="B28" s="16" t="str">
        <f ca="1">DFIE!$B$51</f>
        <v>Thurgau</v>
      </c>
      <c r="C28" s="24">
        <f>RP!I28</f>
        <v>79.431463826824881</v>
      </c>
      <c r="D28" s="29">
        <f>SUM(EINZ!G28,-AUSZ!G28)</f>
        <v>-255333058.70942736</v>
      </c>
      <c r="E28" s="21">
        <f>-SSE!G28</f>
        <v>-890.76611332311018</v>
      </c>
      <c r="F28" s="24">
        <f>SSE!$I28</f>
        <v>88.328691470907543</v>
      </c>
    </row>
    <row r="29" spans="2:6" x14ac:dyDescent="0.25">
      <c r="B29" s="15" t="str">
        <f ca="1">DFIE!$B$52</f>
        <v>Tessin</v>
      </c>
      <c r="C29" s="23">
        <f>RP!I29</f>
        <v>91.116070758485591</v>
      </c>
      <c r="D29" s="30">
        <f>SUM(EINZ!G29,-AUSZ!G29)</f>
        <v>-80043238.934099719</v>
      </c>
      <c r="E29" s="20">
        <f>-SSE!G29</f>
        <v>-225.50090907812827</v>
      </c>
      <c r="F29" s="23">
        <f>SSE!$I29</f>
        <v>93.368438570874474</v>
      </c>
    </row>
    <row r="30" spans="2:6" x14ac:dyDescent="0.25">
      <c r="B30" s="16" t="str">
        <f ca="1">DFIE!$B$53</f>
        <v>Waadt</v>
      </c>
      <c r="C30" s="24">
        <f>RP!I30</f>
        <v>99.678642535059396</v>
      </c>
      <c r="D30" s="29">
        <f>SUM(EINZ!G30,-AUSZ!G30)</f>
        <v>-817025.92436819198</v>
      </c>
      <c r="E30" s="21">
        <f>-SSE!G30</f>
        <v>-0.98659555559228207</v>
      </c>
      <c r="F30" s="24">
        <f>SSE!$I30</f>
        <v>99.688496934681822</v>
      </c>
    </row>
    <row r="31" spans="2:6" x14ac:dyDescent="0.25">
      <c r="B31" s="15" t="str">
        <f ca="1">DFIE!$B$54</f>
        <v>Wallis</v>
      </c>
      <c r="C31" s="23">
        <f>RP!I31</f>
        <v>68.567923742627272</v>
      </c>
      <c r="D31" s="30">
        <f>SUM(EINZ!G31,-AUSZ!G31)</f>
        <v>-645912010.49857569</v>
      </c>
      <c r="E31" s="20">
        <f>-SSE!G31</f>
        <v>-1795.310461929904</v>
      </c>
      <c r="F31" s="23">
        <f>SSE!$I31</f>
        <v>86.500000000000028</v>
      </c>
    </row>
    <row r="32" spans="2:6" x14ac:dyDescent="0.25">
      <c r="B32" s="16" t="str">
        <f ca="1">DFIE!$B$55</f>
        <v>Neuenburg</v>
      </c>
      <c r="C32" s="24">
        <f>RP!I32</f>
        <v>77.289783569693711</v>
      </c>
      <c r="D32" s="29">
        <f>SUM(EINZ!G32,-AUSZ!G32)</f>
        <v>-186238568.53043729</v>
      </c>
      <c r="E32" s="21">
        <f>-SSE!G32</f>
        <v>-1047.5061834149426</v>
      </c>
      <c r="F32" s="24">
        <f>SSE!$I32</f>
        <v>87.752576027814911</v>
      </c>
    </row>
    <row r="33" spans="2:6" x14ac:dyDescent="0.25">
      <c r="B33" s="15" t="str">
        <f ca="1">DFIE!$B$56</f>
        <v>Genf</v>
      </c>
      <c r="C33" s="23">
        <f>RP!I33</f>
        <v>155.33116720068918</v>
      </c>
      <c r="D33" s="30">
        <f>SUM(EINZ!G33,-AUSZ!G33)</f>
        <v>542911025.59981287</v>
      </c>
      <c r="E33" s="20">
        <f>-SSE!G33</f>
        <v>1060.1498166235424</v>
      </c>
      <c r="F33" s="23">
        <f>SSE!$I33</f>
        <v>144.74208650458658</v>
      </c>
    </row>
    <row r="34" spans="2:6" x14ac:dyDescent="0.25">
      <c r="B34" s="16" t="str">
        <f ca="1">DFIE!$B$57</f>
        <v>Jura</v>
      </c>
      <c r="C34" s="24">
        <f>RP!I34</f>
        <v>64.456538235303611</v>
      </c>
      <c r="D34" s="29">
        <f>SUM(EINZ!G34,-AUSZ!G34)</f>
        <v>-163433182.21475357</v>
      </c>
      <c r="E34" s="21">
        <f>-SSE!G34</f>
        <v>-2206.9311414533022</v>
      </c>
      <c r="F34" s="24">
        <f>SSE!$I34</f>
        <v>86.500000000000028</v>
      </c>
    </row>
    <row r="35" spans="2:6" x14ac:dyDescent="0.25">
      <c r="B35" s="14" t="str">
        <f ca="1">DFIE!$B$58</f>
        <v>Schweiz</v>
      </c>
      <c r="C35" s="25">
        <f>RP!I35</f>
        <v>100</v>
      </c>
      <c r="D35" s="26">
        <f>SUM(D9:D34)</f>
        <v>-3097537734.0132484</v>
      </c>
      <c r="E35" s="22"/>
      <c r="F35" s="25"/>
    </row>
    <row r="36" spans="2:6" ht="92.25" customHeight="1" x14ac:dyDescent="0.25">
      <c r="B36" s="570" t="str">
        <f ca="1">DFIE!$B$83</f>
        <v>Die Berechnung des Ressourcenausgleichs wird im technischen Bericht detailliert beschrieben:
www.efv.admin.ch → Themen  → Finanzausgleich  → Dokumentation</v>
      </c>
      <c r="C36" s="570"/>
      <c r="D36" s="570"/>
      <c r="E36" s="570"/>
      <c r="F36" s="570"/>
    </row>
    <row r="37" spans="2:6" ht="21.75" customHeight="1" x14ac:dyDescent="0.25"/>
  </sheetData>
  <mergeCells count="7">
    <mergeCell ref="B2:F2"/>
    <mergeCell ref="B3:F3"/>
    <mergeCell ref="B36:F36"/>
    <mergeCell ref="D7:E7"/>
    <mergeCell ref="B7:B8"/>
    <mergeCell ref="C7:C8"/>
    <mergeCell ref="F7:F8"/>
  </mergeCells>
  <pageMargins left="0.78740157480314965" right="0.78740157480314965" top="0.9055118110236221" bottom="0.78740157480314965" header="0.51181102362204722" footer="0.51181102362204722"/>
  <pageSetup paperSize="9" scale="95" orientation="portrait"/>
  <headerFooter scaleWithDoc="0" alignWithMargins="0">
    <oddHeader>&amp;L&amp;F&amp;R&amp;A</oddHeader>
    <oddFooter>&amp;C&amp;P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I93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RowHeight="13.2" x14ac:dyDescent="0.25"/>
  <cols>
    <col min="1" max="1" width="4.44140625" customWidth="1"/>
    <col min="2" max="2" width="17.33203125" customWidth="1"/>
    <col min="3" max="5" width="23.6640625" customWidth="1"/>
    <col min="6" max="6" width="1.44140625" customWidth="1"/>
    <col min="7" max="7" width="3.6640625" customWidth="1"/>
    <col min="8" max="8" width="13.109375" customWidth="1"/>
    <col min="9" max="9" width="10" customWidth="1"/>
  </cols>
  <sheetData>
    <row r="1" spans="1:9" ht="22.5" customHeight="1" x14ac:dyDescent="0.3">
      <c r="B1" s="3" t="str">
        <f ca="1">DFIE!$B$84</f>
        <v>Einkommen natürlicher Personen 2026</v>
      </c>
    </row>
    <row r="2" spans="1:9" ht="12.75" customHeight="1" x14ac:dyDescent="0.25"/>
    <row r="3" spans="1:9" ht="0.75" customHeight="1" x14ac:dyDescent="0.25"/>
    <row r="4" spans="1:9" ht="12" customHeight="1" x14ac:dyDescent="0.25">
      <c r="B4" s="67" t="str">
        <f ca="1">DFIE!$B$59</f>
        <v>Spalte</v>
      </c>
      <c r="C4" s="68" t="s">
        <v>30</v>
      </c>
      <c r="D4" s="68" t="s">
        <v>31</v>
      </c>
      <c r="E4" s="69" t="s">
        <v>32</v>
      </c>
      <c r="H4" s="69" t="s">
        <v>33</v>
      </c>
      <c r="I4" s="69" t="s">
        <v>34</v>
      </c>
    </row>
    <row r="5" spans="1:9" ht="12" customHeight="1" x14ac:dyDescent="0.25">
      <c r="B5" s="67" t="str">
        <f ca="1">DFIE!$B$60</f>
        <v>Formel</v>
      </c>
      <c r="C5" s="70"/>
      <c r="D5" s="71"/>
      <c r="E5" s="72" t="s">
        <v>93</v>
      </c>
    </row>
    <row r="6" spans="1:9" ht="28.5" customHeight="1" x14ac:dyDescent="0.25">
      <c r="B6" s="44"/>
      <c r="C6" s="585" t="str">
        <f ca="1">DFIE!$B$85</f>
        <v>Steuerpflichtige mit steuerbarem Einkommen
grösser oder gleich dem Freibetrag</v>
      </c>
      <c r="D6" s="585"/>
      <c r="E6" s="581" t="str">
        <f ca="1">DFIE!$B$88</f>
        <v>Massgebendes
Einkommen der
natürlichen
Personen</v>
      </c>
      <c r="H6" s="577" t="str">
        <f ca="1">DFIE!$B$89</f>
        <v>Freibetrag pro
steuerpflichtige Person</v>
      </c>
      <c r="I6" s="578"/>
    </row>
    <row r="7" spans="1:9" ht="30.75" customHeight="1" x14ac:dyDescent="0.25">
      <c r="B7" s="45"/>
      <c r="C7" s="63" t="str">
        <f ca="1">DFIE!$B$86</f>
        <v>Steuerpflichtige</v>
      </c>
      <c r="D7" s="63" t="str">
        <f ca="1">DFIE!$B$87</f>
        <v>Steuerbares Einkommen
der Steuerpflichtigen</v>
      </c>
      <c r="E7" s="581"/>
      <c r="H7" s="579"/>
      <c r="I7" s="580"/>
    </row>
    <row r="8" spans="1:9" ht="12.75" customHeight="1" x14ac:dyDescent="0.25">
      <c r="B8" s="67" t="str">
        <f ca="1">DFIE!$B$62</f>
        <v>Einheit</v>
      </c>
      <c r="C8" s="35" t="str">
        <f ca="1">DFIE!$B$65</f>
        <v>Anzahl</v>
      </c>
      <c r="D8" s="35" t="str">
        <f ca="1">DFIE!$B$64</f>
        <v>CHF 1'000</v>
      </c>
      <c r="E8" s="36" t="str">
        <f ca="1">DFIE!$B$64</f>
        <v>CHF 1'000</v>
      </c>
      <c r="H8" s="37" t="str">
        <f ca="1">DFIE!$B$90</f>
        <v>Bemessungsjahr</v>
      </c>
      <c r="I8" s="38" t="str">
        <f ca="1">DFIE!$B$63</f>
        <v>CHF</v>
      </c>
    </row>
    <row r="9" spans="1:9" ht="12.75" customHeight="1" x14ac:dyDescent="0.25">
      <c r="A9" s="582" t="str">
        <f ca="1">DFIE!$B$73</f>
        <v>Bemessungsjahr 2020</v>
      </c>
      <c r="B9" s="60" t="str">
        <f ca="1">DFIE!$B$32</f>
        <v>Zürich</v>
      </c>
      <c r="C9" s="51">
        <v>672469</v>
      </c>
      <c r="D9" s="51">
        <v>64135209.200000003</v>
      </c>
      <c r="E9" s="52">
        <f t="shared" ref="E9:E34" si="0">D9-($I$9/1000*C9)</f>
        <v>43423164</v>
      </c>
      <c r="F9" s="41"/>
      <c r="H9" s="39">
        <f>DFIE!$G$3-6</f>
        <v>2020</v>
      </c>
      <c r="I9" s="61">
        <v>30800</v>
      </c>
    </row>
    <row r="10" spans="1:9" x14ac:dyDescent="0.25">
      <c r="A10" s="582"/>
      <c r="B10" s="58" t="str">
        <f ca="1">DFIE!$B$33</f>
        <v>Bern</v>
      </c>
      <c r="C10" s="53">
        <v>446411</v>
      </c>
      <c r="D10" s="53">
        <v>32745005.399999999</v>
      </c>
      <c r="E10" s="47">
        <f t="shared" si="0"/>
        <v>18995546.599999998</v>
      </c>
      <c r="F10" s="41"/>
    </row>
    <row r="11" spans="1:9" ht="12.75" customHeight="1" x14ac:dyDescent="0.25">
      <c r="A11" s="582"/>
      <c r="B11" s="57" t="str">
        <f ca="1">DFIE!$B$34</f>
        <v>Luzern</v>
      </c>
      <c r="C11" s="54">
        <v>177377</v>
      </c>
      <c r="D11" s="54">
        <v>13929719.199999999</v>
      </c>
      <c r="E11" s="48">
        <f t="shared" si="0"/>
        <v>8466507.5999999978</v>
      </c>
      <c r="F11" s="41"/>
    </row>
    <row r="12" spans="1:9" x14ac:dyDescent="0.25">
      <c r="A12" s="582"/>
      <c r="B12" s="58" t="str">
        <f ca="1">DFIE!$B$35</f>
        <v>Uri</v>
      </c>
      <c r="C12" s="53">
        <v>15588</v>
      </c>
      <c r="D12" s="53">
        <v>1097024.8</v>
      </c>
      <c r="E12" s="47">
        <f t="shared" si="0"/>
        <v>616914.4</v>
      </c>
      <c r="F12" s="41"/>
    </row>
    <row r="13" spans="1:9" x14ac:dyDescent="0.25">
      <c r="A13" s="582"/>
      <c r="B13" s="57" t="str">
        <f ca="1">DFIE!$B$36</f>
        <v>Schwyz</v>
      </c>
      <c r="C13" s="54">
        <v>72678</v>
      </c>
      <c r="D13" s="54">
        <v>8576349.1150000002</v>
      </c>
      <c r="E13" s="48">
        <f t="shared" si="0"/>
        <v>6337866.7149999999</v>
      </c>
      <c r="F13" s="41"/>
    </row>
    <row r="14" spans="1:9" x14ac:dyDescent="0.25">
      <c r="A14" s="582"/>
      <c r="B14" s="58" t="str">
        <f ca="1">DFIE!$B$37</f>
        <v>Obwalden</v>
      </c>
      <c r="C14" s="53">
        <v>16379</v>
      </c>
      <c r="D14" s="53">
        <v>1492710.621</v>
      </c>
      <c r="E14" s="47">
        <f t="shared" si="0"/>
        <v>988237.42100000009</v>
      </c>
      <c r="F14" s="41"/>
    </row>
    <row r="15" spans="1:9" x14ac:dyDescent="0.25">
      <c r="A15" s="582"/>
      <c r="B15" s="57" t="str">
        <f ca="1">DFIE!$B$38</f>
        <v>Nidwalden</v>
      </c>
      <c r="C15" s="54">
        <v>19948</v>
      </c>
      <c r="D15" s="54">
        <v>2008988.3</v>
      </c>
      <c r="E15" s="48">
        <f t="shared" si="0"/>
        <v>1394589.9</v>
      </c>
      <c r="F15" s="41"/>
    </row>
    <row r="16" spans="1:9" x14ac:dyDescent="0.25">
      <c r="A16" s="582"/>
      <c r="B16" s="58" t="str">
        <f ca="1">DFIE!$B$39</f>
        <v>Glarus</v>
      </c>
      <c r="C16" s="53">
        <v>16795</v>
      </c>
      <c r="D16" s="53">
        <v>1190229.3</v>
      </c>
      <c r="E16" s="47">
        <f t="shared" si="0"/>
        <v>672943.3</v>
      </c>
      <c r="F16" s="41"/>
    </row>
    <row r="17" spans="1:6" x14ac:dyDescent="0.25">
      <c r="A17" s="582"/>
      <c r="B17" s="57" t="str">
        <f ca="1">DFIE!$B$40</f>
        <v>Zug</v>
      </c>
      <c r="C17" s="54">
        <v>58441</v>
      </c>
      <c r="D17" s="54">
        <v>7966303.7000000002</v>
      </c>
      <c r="E17" s="48">
        <f t="shared" si="0"/>
        <v>6166320.9000000004</v>
      </c>
      <c r="F17" s="41"/>
    </row>
    <row r="18" spans="1:6" x14ac:dyDescent="0.25">
      <c r="A18" s="582"/>
      <c r="B18" s="58" t="str">
        <f ca="1">DFIE!$B$41</f>
        <v>Freiburg</v>
      </c>
      <c r="C18" s="53">
        <v>132525</v>
      </c>
      <c r="D18" s="53">
        <v>9985087.8279999997</v>
      </c>
      <c r="E18" s="47">
        <f t="shared" si="0"/>
        <v>5903317.8279999997</v>
      </c>
      <c r="F18" s="41"/>
    </row>
    <row r="19" spans="1:6" x14ac:dyDescent="0.25">
      <c r="A19" s="582"/>
      <c r="B19" s="57" t="str">
        <f ca="1">DFIE!$B$42</f>
        <v>Solothurn</v>
      </c>
      <c r="C19" s="54">
        <v>120806</v>
      </c>
      <c r="D19" s="54">
        <v>9105204.8000000007</v>
      </c>
      <c r="E19" s="48">
        <f t="shared" si="0"/>
        <v>5384380</v>
      </c>
      <c r="F19" s="41"/>
    </row>
    <row r="20" spans="1:6" x14ac:dyDescent="0.25">
      <c r="A20" s="582"/>
      <c r="B20" s="58" t="str">
        <f ca="1">DFIE!$B$43</f>
        <v>Basel-Stadt</v>
      </c>
      <c r="C20" s="53">
        <v>82522</v>
      </c>
      <c r="D20" s="53">
        <v>8189769.2000000002</v>
      </c>
      <c r="E20" s="47">
        <f t="shared" si="0"/>
        <v>5648091.5999999996</v>
      </c>
      <c r="F20" s="41"/>
    </row>
    <row r="21" spans="1:6" x14ac:dyDescent="0.25">
      <c r="A21" s="582"/>
      <c r="B21" s="57" t="str">
        <f ca="1">DFIE!$B$44</f>
        <v>Basel-Landschaft</v>
      </c>
      <c r="C21" s="54">
        <v>128380</v>
      </c>
      <c r="D21" s="54">
        <v>11473186.5</v>
      </c>
      <c r="E21" s="48">
        <f t="shared" si="0"/>
        <v>7519082.5</v>
      </c>
      <c r="F21" s="41"/>
    </row>
    <row r="22" spans="1:6" x14ac:dyDescent="0.25">
      <c r="A22" s="582"/>
      <c r="B22" s="58" t="str">
        <f ca="1">DFIE!$B$45</f>
        <v>Schaffhausen</v>
      </c>
      <c r="C22" s="53">
        <v>35394</v>
      </c>
      <c r="D22" s="53">
        <v>2670665.7999999998</v>
      </c>
      <c r="E22" s="47">
        <f t="shared" si="0"/>
        <v>1580530.5999999999</v>
      </c>
      <c r="F22" s="41"/>
    </row>
    <row r="23" spans="1:6" x14ac:dyDescent="0.25">
      <c r="A23" s="582"/>
      <c r="B23" s="57" t="str">
        <f ca="1">DFIE!$B$46</f>
        <v>Appenzell A.Rh.</v>
      </c>
      <c r="C23" s="54">
        <v>23662</v>
      </c>
      <c r="D23" s="54">
        <v>1822485.29</v>
      </c>
      <c r="E23" s="48">
        <f t="shared" si="0"/>
        <v>1093695.69</v>
      </c>
      <c r="F23" s="41"/>
    </row>
    <row r="24" spans="1:6" x14ac:dyDescent="0.25">
      <c r="A24" s="582"/>
      <c r="B24" s="58" t="str">
        <f ca="1">DFIE!$B$47</f>
        <v>Appenzell I.Rh.</v>
      </c>
      <c r="C24" s="53">
        <v>6976</v>
      </c>
      <c r="D24" s="53">
        <v>587076</v>
      </c>
      <c r="E24" s="47">
        <f t="shared" si="0"/>
        <v>372215.19999999995</v>
      </c>
      <c r="F24" s="41"/>
    </row>
    <row r="25" spans="1:6" x14ac:dyDescent="0.25">
      <c r="A25" s="582"/>
      <c r="B25" s="57" t="str">
        <f ca="1">DFIE!$B$48</f>
        <v>St. Gallen</v>
      </c>
      <c r="C25" s="54">
        <v>214830</v>
      </c>
      <c r="D25" s="54">
        <v>15795754.699999999</v>
      </c>
      <c r="E25" s="48">
        <f t="shared" si="0"/>
        <v>9178990.6999999993</v>
      </c>
      <c r="F25" s="41"/>
    </row>
    <row r="26" spans="1:6" x14ac:dyDescent="0.25">
      <c r="A26" s="582"/>
      <c r="B26" s="58" t="str">
        <f ca="1">DFIE!$B$49</f>
        <v>Graubünden</v>
      </c>
      <c r="C26" s="53">
        <v>84572</v>
      </c>
      <c r="D26" s="53">
        <v>6599545.7280000001</v>
      </c>
      <c r="E26" s="47">
        <f t="shared" si="0"/>
        <v>3994728.128</v>
      </c>
      <c r="F26" s="41"/>
    </row>
    <row r="27" spans="1:6" x14ac:dyDescent="0.25">
      <c r="A27" s="582"/>
      <c r="B27" s="57" t="str">
        <f ca="1">DFIE!$B$50</f>
        <v>Aargau</v>
      </c>
      <c r="C27" s="54">
        <v>303903</v>
      </c>
      <c r="D27" s="54">
        <v>23839189.600000001</v>
      </c>
      <c r="E27" s="48">
        <f t="shared" si="0"/>
        <v>14478977.200000001</v>
      </c>
      <c r="F27" s="41"/>
    </row>
    <row r="28" spans="1:6" x14ac:dyDescent="0.25">
      <c r="A28" s="582"/>
      <c r="B28" s="58" t="str">
        <f ca="1">DFIE!$B$51</f>
        <v>Thurgau</v>
      </c>
      <c r="C28" s="53">
        <v>119366</v>
      </c>
      <c r="D28" s="53">
        <v>9187475.5</v>
      </c>
      <c r="E28" s="47">
        <f t="shared" si="0"/>
        <v>5511002.6999999993</v>
      </c>
      <c r="F28" s="41"/>
    </row>
    <row r="29" spans="1:6" x14ac:dyDescent="0.25">
      <c r="A29" s="582"/>
      <c r="B29" s="57" t="str">
        <f ca="1">DFIE!$B$52</f>
        <v>Tessin</v>
      </c>
      <c r="C29" s="54">
        <v>137938</v>
      </c>
      <c r="D29" s="54">
        <v>11419622.300000001</v>
      </c>
      <c r="E29" s="48">
        <f t="shared" si="0"/>
        <v>7171131.9000000004</v>
      </c>
      <c r="F29" s="41"/>
    </row>
    <row r="30" spans="1:6" x14ac:dyDescent="0.25">
      <c r="A30" s="582"/>
      <c r="B30" s="58" t="str">
        <f ca="1">DFIE!$B$53</f>
        <v>Waadt</v>
      </c>
      <c r="C30" s="53">
        <v>319520</v>
      </c>
      <c r="D30" s="53">
        <v>29077349.800000001</v>
      </c>
      <c r="E30" s="47">
        <f t="shared" si="0"/>
        <v>19236133.800000001</v>
      </c>
      <c r="F30" s="41"/>
    </row>
    <row r="31" spans="1:6" x14ac:dyDescent="0.25">
      <c r="A31" s="582"/>
      <c r="B31" s="57" t="str">
        <f ca="1">DFIE!$B$54</f>
        <v>Wallis</v>
      </c>
      <c r="C31" s="54">
        <v>144303</v>
      </c>
      <c r="D31" s="54">
        <v>10341392.6</v>
      </c>
      <c r="E31" s="48">
        <f t="shared" si="0"/>
        <v>5896860.1999999993</v>
      </c>
      <c r="F31" s="41"/>
    </row>
    <row r="32" spans="1:6" x14ac:dyDescent="0.25">
      <c r="A32" s="582"/>
      <c r="B32" s="58" t="str">
        <f ca="1">DFIE!$B$55</f>
        <v>Neuenburg</v>
      </c>
      <c r="C32" s="53">
        <v>69294</v>
      </c>
      <c r="D32" s="53">
        <v>5120112.7</v>
      </c>
      <c r="E32" s="47">
        <f t="shared" si="0"/>
        <v>2985857.5</v>
      </c>
      <c r="F32" s="41"/>
    </row>
    <row r="33" spans="1:9" x14ac:dyDescent="0.25">
      <c r="A33" s="582"/>
      <c r="B33" s="57" t="str">
        <f ca="1">DFIE!$B$56</f>
        <v>Genf</v>
      </c>
      <c r="C33" s="54">
        <v>181994</v>
      </c>
      <c r="D33" s="54">
        <v>19670076.5</v>
      </c>
      <c r="E33" s="48">
        <f t="shared" si="0"/>
        <v>14064661.300000001</v>
      </c>
      <c r="F33" s="41"/>
    </row>
    <row r="34" spans="1:9" x14ac:dyDescent="0.25">
      <c r="A34" s="582"/>
      <c r="B34" s="58" t="str">
        <f ca="1">DFIE!$B$57</f>
        <v>Jura</v>
      </c>
      <c r="C34" s="53">
        <v>29455</v>
      </c>
      <c r="D34" s="53">
        <v>2010755.9</v>
      </c>
      <c r="E34" s="47">
        <f t="shared" si="0"/>
        <v>1103541.8999999999</v>
      </c>
      <c r="F34" s="41"/>
    </row>
    <row r="35" spans="1:9" x14ac:dyDescent="0.25">
      <c r="A35" s="582"/>
      <c r="B35" s="59" t="str">
        <f ca="1">DFIE!$B$58</f>
        <v>Schweiz</v>
      </c>
      <c r="C35" s="55">
        <f>SUM(C9:C34)</f>
        <v>3631526</v>
      </c>
      <c r="D35" s="55">
        <f>SUM(D9:D34)</f>
        <v>310036290.38199997</v>
      </c>
      <c r="E35" s="49">
        <f>SUM(E9:E34)</f>
        <v>198185289.58200002</v>
      </c>
      <c r="F35" s="42"/>
      <c r="H35" s="34"/>
      <c r="I35" s="34"/>
    </row>
    <row r="36" spans="1:9" ht="15" customHeight="1" x14ac:dyDescent="0.25">
      <c r="A36" s="65"/>
      <c r="C36" s="62"/>
      <c r="D36" s="62"/>
      <c r="E36" s="62"/>
      <c r="H36" s="34"/>
      <c r="I36" s="34"/>
    </row>
    <row r="37" spans="1:9" ht="12.75" customHeight="1" x14ac:dyDescent="0.25">
      <c r="A37" s="583" t="str">
        <f ca="1">DFIE!$B$74</f>
        <v>Bemessungsjahr 2021</v>
      </c>
      <c r="B37" s="60" t="str">
        <f ca="1">DFIE!$B$32</f>
        <v>Zürich</v>
      </c>
      <c r="C37" s="51">
        <v>688951</v>
      </c>
      <c r="D37" s="51">
        <v>67162612.200000003</v>
      </c>
      <c r="E37" s="52">
        <f t="shared" ref="E37:E62" si="1">D37-($I$37/1000*C37)</f>
        <v>45942921.400000006</v>
      </c>
      <c r="F37" s="43"/>
      <c r="H37" s="39">
        <f>DFIE!$G$3-5</f>
        <v>2021</v>
      </c>
      <c r="I37" s="61">
        <v>30800</v>
      </c>
    </row>
    <row r="38" spans="1:9" x14ac:dyDescent="0.25">
      <c r="A38" s="583"/>
      <c r="B38" s="58" t="str">
        <f ca="1">DFIE!$B$33</f>
        <v>Bern</v>
      </c>
      <c r="C38" s="53">
        <v>450370</v>
      </c>
      <c r="D38" s="53">
        <v>33471282.420000002</v>
      </c>
      <c r="E38" s="47">
        <f t="shared" si="1"/>
        <v>19599886.420000002</v>
      </c>
      <c r="F38" s="43"/>
    </row>
    <row r="39" spans="1:9" x14ac:dyDescent="0.25">
      <c r="A39" s="583"/>
      <c r="B39" s="57" t="str">
        <f ca="1">DFIE!$B$34</f>
        <v>Luzern</v>
      </c>
      <c r="C39" s="54">
        <v>181984</v>
      </c>
      <c r="D39" s="54">
        <v>14568290.699999999</v>
      </c>
      <c r="E39" s="48">
        <f t="shared" si="1"/>
        <v>8963183.5</v>
      </c>
      <c r="F39" s="43"/>
    </row>
    <row r="40" spans="1:9" x14ac:dyDescent="0.25">
      <c r="A40" s="583"/>
      <c r="B40" s="58" t="str">
        <f ca="1">DFIE!$B$35</f>
        <v>Uri</v>
      </c>
      <c r="C40" s="53">
        <v>15865</v>
      </c>
      <c r="D40" s="53">
        <v>1132419.2</v>
      </c>
      <c r="E40" s="47">
        <f t="shared" si="1"/>
        <v>643777.19999999995</v>
      </c>
      <c r="F40" s="43"/>
    </row>
    <row r="41" spans="1:9" x14ac:dyDescent="0.25">
      <c r="A41" s="583"/>
      <c r="B41" s="57" t="str">
        <f ca="1">DFIE!$B$36</f>
        <v>Schwyz</v>
      </c>
      <c r="C41" s="54">
        <v>74548</v>
      </c>
      <c r="D41" s="54">
        <v>9419785.1190000009</v>
      </c>
      <c r="E41" s="48">
        <f t="shared" si="1"/>
        <v>7123706.7190000005</v>
      </c>
      <c r="F41" s="43"/>
    </row>
    <row r="42" spans="1:9" x14ac:dyDescent="0.25">
      <c r="A42" s="583"/>
      <c r="B42" s="58" t="str">
        <f ca="1">DFIE!$B$37</f>
        <v>Obwalden</v>
      </c>
      <c r="C42" s="53">
        <v>16782</v>
      </c>
      <c r="D42" s="53">
        <v>1460165.4339999999</v>
      </c>
      <c r="E42" s="47">
        <f t="shared" si="1"/>
        <v>943279.8339999998</v>
      </c>
      <c r="F42" s="43"/>
    </row>
    <row r="43" spans="1:9" x14ac:dyDescent="0.25">
      <c r="A43" s="583"/>
      <c r="B43" s="57" t="str">
        <f ca="1">DFIE!$B$38</f>
        <v>Nidwalden</v>
      </c>
      <c r="C43" s="54">
        <v>20530</v>
      </c>
      <c r="D43" s="54">
        <v>2052141.449</v>
      </c>
      <c r="E43" s="48">
        <f t="shared" si="1"/>
        <v>1419817.449</v>
      </c>
      <c r="F43" s="43"/>
    </row>
    <row r="44" spans="1:9" x14ac:dyDescent="0.25">
      <c r="A44" s="583"/>
      <c r="B44" s="58" t="str">
        <f ca="1">DFIE!$B$39</f>
        <v>Glarus</v>
      </c>
      <c r="C44" s="53">
        <v>17343</v>
      </c>
      <c r="D44" s="53">
        <v>1236788.24</v>
      </c>
      <c r="E44" s="47">
        <f t="shared" si="1"/>
        <v>702623.84</v>
      </c>
      <c r="F44" s="43"/>
    </row>
    <row r="45" spans="1:9" x14ac:dyDescent="0.25">
      <c r="A45" s="583"/>
      <c r="B45" s="57" t="str">
        <f ca="1">DFIE!$B$40</f>
        <v>Zug</v>
      </c>
      <c r="C45" s="54">
        <v>59713</v>
      </c>
      <c r="D45" s="54">
        <v>8966696.4000000004</v>
      </c>
      <c r="E45" s="48">
        <f t="shared" si="1"/>
        <v>7127536</v>
      </c>
      <c r="F45" s="43"/>
    </row>
    <row r="46" spans="1:9" x14ac:dyDescent="0.25">
      <c r="A46" s="583"/>
      <c r="B46" s="58" t="str">
        <f ca="1">DFIE!$B$41</f>
        <v>Freiburg</v>
      </c>
      <c r="C46" s="53">
        <v>137130</v>
      </c>
      <c r="D46" s="53">
        <v>10348453.981000001</v>
      </c>
      <c r="E46" s="47">
        <f t="shared" si="1"/>
        <v>6124849.9810000006</v>
      </c>
      <c r="F46" s="43"/>
    </row>
    <row r="47" spans="1:9" x14ac:dyDescent="0.25">
      <c r="A47" s="583"/>
      <c r="B47" s="57" t="str">
        <f ca="1">DFIE!$B$42</f>
        <v>Solothurn</v>
      </c>
      <c r="C47" s="54">
        <v>123624</v>
      </c>
      <c r="D47" s="54">
        <v>9349096.1999999993</v>
      </c>
      <c r="E47" s="48">
        <f t="shared" si="1"/>
        <v>5541476.9999999991</v>
      </c>
      <c r="F47" s="43"/>
    </row>
    <row r="48" spans="1:9" x14ac:dyDescent="0.25">
      <c r="A48" s="583"/>
      <c r="B48" s="58" t="str">
        <f ca="1">DFIE!$B$43</f>
        <v>Basel-Stadt</v>
      </c>
      <c r="C48" s="53">
        <v>83820</v>
      </c>
      <c r="D48" s="53">
        <v>8402998.5</v>
      </c>
      <c r="E48" s="47">
        <f t="shared" si="1"/>
        <v>5821342.5</v>
      </c>
      <c r="F48" s="43"/>
    </row>
    <row r="49" spans="1:9" x14ac:dyDescent="0.25">
      <c r="A49" s="583"/>
      <c r="B49" s="57" t="str">
        <f ca="1">DFIE!$B$44</f>
        <v>Basel-Landschaft</v>
      </c>
      <c r="C49" s="54">
        <v>130723</v>
      </c>
      <c r="D49" s="54">
        <v>11730812.6</v>
      </c>
      <c r="E49" s="48">
        <f t="shared" si="1"/>
        <v>7704544.1999999993</v>
      </c>
      <c r="F49" s="43"/>
    </row>
    <row r="50" spans="1:9" x14ac:dyDescent="0.25">
      <c r="A50" s="583"/>
      <c r="B50" s="58" t="str">
        <f ca="1">DFIE!$B$45</f>
        <v>Schaffhausen</v>
      </c>
      <c r="C50" s="53">
        <v>36328</v>
      </c>
      <c r="D50" s="53">
        <v>2768421.3</v>
      </c>
      <c r="E50" s="47">
        <f t="shared" si="1"/>
        <v>1649518.8999999997</v>
      </c>
      <c r="F50" s="43"/>
    </row>
    <row r="51" spans="1:9" x14ac:dyDescent="0.25">
      <c r="A51" s="583"/>
      <c r="B51" s="57" t="str">
        <f ca="1">DFIE!$B$46</f>
        <v>Appenzell A.Rh.</v>
      </c>
      <c r="C51" s="54">
        <v>23788</v>
      </c>
      <c r="D51" s="54">
        <v>1905457.3149999999</v>
      </c>
      <c r="E51" s="48">
        <f t="shared" si="1"/>
        <v>1172786.915</v>
      </c>
      <c r="F51" s="43"/>
    </row>
    <row r="52" spans="1:9" x14ac:dyDescent="0.25">
      <c r="A52" s="583"/>
      <c r="B52" s="58" t="str">
        <f ca="1">DFIE!$B$47</f>
        <v>Appenzell I.Rh.</v>
      </c>
      <c r="C52" s="53">
        <v>7113</v>
      </c>
      <c r="D52" s="53">
        <v>613446</v>
      </c>
      <c r="E52" s="47">
        <f t="shared" si="1"/>
        <v>394365.6</v>
      </c>
      <c r="F52" s="43"/>
    </row>
    <row r="53" spans="1:9" x14ac:dyDescent="0.25">
      <c r="A53" s="583"/>
      <c r="B53" s="57" t="str">
        <f ca="1">DFIE!$B$48</f>
        <v>St. Gallen</v>
      </c>
      <c r="C53" s="54">
        <v>218417</v>
      </c>
      <c r="D53" s="54">
        <v>16295934.6</v>
      </c>
      <c r="E53" s="48">
        <f t="shared" si="1"/>
        <v>9568691</v>
      </c>
      <c r="F53" s="43"/>
    </row>
    <row r="54" spans="1:9" x14ac:dyDescent="0.25">
      <c r="A54" s="583"/>
      <c r="B54" s="58" t="str">
        <f ca="1">DFIE!$B$49</f>
        <v>Graubünden</v>
      </c>
      <c r="C54" s="53">
        <v>86882</v>
      </c>
      <c r="D54" s="53">
        <v>6868418.0899999999</v>
      </c>
      <c r="E54" s="47">
        <f t="shared" si="1"/>
        <v>4192452.4899999998</v>
      </c>
      <c r="F54" s="43"/>
    </row>
    <row r="55" spans="1:9" x14ac:dyDescent="0.25">
      <c r="A55" s="583"/>
      <c r="B55" s="57" t="str">
        <f ca="1">DFIE!$B$50</f>
        <v>Aargau</v>
      </c>
      <c r="C55" s="54">
        <v>310684</v>
      </c>
      <c r="D55" s="54">
        <v>24434114.899999999</v>
      </c>
      <c r="E55" s="48">
        <f t="shared" si="1"/>
        <v>14865047.699999997</v>
      </c>
      <c r="F55" s="43"/>
    </row>
    <row r="56" spans="1:9" x14ac:dyDescent="0.25">
      <c r="A56" s="583"/>
      <c r="B56" s="58" t="str">
        <f ca="1">DFIE!$B$51</f>
        <v>Thurgau</v>
      </c>
      <c r="C56" s="53">
        <v>121966</v>
      </c>
      <c r="D56" s="53">
        <v>9355232.1999999993</v>
      </c>
      <c r="E56" s="47">
        <f t="shared" si="1"/>
        <v>5598679.3999999985</v>
      </c>
      <c r="F56" s="43"/>
    </row>
    <row r="57" spans="1:9" x14ac:dyDescent="0.25">
      <c r="A57" s="583"/>
      <c r="B57" s="57" t="str">
        <f ca="1">DFIE!$B$52</f>
        <v>Tessin</v>
      </c>
      <c r="C57" s="54">
        <v>140832</v>
      </c>
      <c r="D57" s="54">
        <v>11792985.5</v>
      </c>
      <c r="E57" s="48">
        <f t="shared" si="1"/>
        <v>7455359.8999999994</v>
      </c>
      <c r="F57" s="43"/>
    </row>
    <row r="58" spans="1:9" x14ac:dyDescent="0.25">
      <c r="A58" s="583"/>
      <c r="B58" s="58" t="str">
        <f ca="1">DFIE!$B$53</f>
        <v>Waadt</v>
      </c>
      <c r="C58" s="53">
        <v>331083</v>
      </c>
      <c r="D58" s="53">
        <v>30111077.100000001</v>
      </c>
      <c r="E58" s="47">
        <f t="shared" si="1"/>
        <v>19913720.700000003</v>
      </c>
      <c r="F58" s="43"/>
    </row>
    <row r="59" spans="1:9" x14ac:dyDescent="0.25">
      <c r="A59" s="583"/>
      <c r="B59" s="57" t="str">
        <f ca="1">DFIE!$B$54</f>
        <v>Wallis</v>
      </c>
      <c r="C59" s="54">
        <v>147756</v>
      </c>
      <c r="D59" s="54">
        <v>10808770.1</v>
      </c>
      <c r="E59" s="48">
        <f t="shared" si="1"/>
        <v>6257885.2999999998</v>
      </c>
      <c r="F59" s="43"/>
    </row>
    <row r="60" spans="1:9" x14ac:dyDescent="0.25">
      <c r="A60" s="583"/>
      <c r="B60" s="58" t="str">
        <f ca="1">DFIE!$B$55</f>
        <v>Neuenburg</v>
      </c>
      <c r="C60" s="53">
        <v>71509</v>
      </c>
      <c r="D60" s="53">
        <v>5369066.7999999998</v>
      </c>
      <c r="E60" s="47">
        <f t="shared" si="1"/>
        <v>3166589.5999999996</v>
      </c>
      <c r="F60" s="43"/>
    </row>
    <row r="61" spans="1:9" x14ac:dyDescent="0.25">
      <c r="A61" s="583"/>
      <c r="B61" s="57" t="str">
        <f ca="1">DFIE!$B$56</f>
        <v>Genf</v>
      </c>
      <c r="C61" s="54">
        <v>193333</v>
      </c>
      <c r="D61" s="54">
        <v>21415501.899999999</v>
      </c>
      <c r="E61" s="48">
        <f t="shared" si="1"/>
        <v>15460845.499999998</v>
      </c>
      <c r="F61" s="43"/>
    </row>
    <row r="62" spans="1:9" x14ac:dyDescent="0.25">
      <c r="A62" s="583"/>
      <c r="B62" s="58" t="str">
        <f ca="1">DFIE!$B$57</f>
        <v>Jura</v>
      </c>
      <c r="C62" s="53">
        <v>29848</v>
      </c>
      <c r="D62" s="53">
        <v>2035726.6</v>
      </c>
      <c r="E62" s="47">
        <f t="shared" si="1"/>
        <v>1116408.2000000002</v>
      </c>
      <c r="F62" s="43"/>
    </row>
    <row r="63" spans="1:9" x14ac:dyDescent="0.25">
      <c r="A63" s="583"/>
      <c r="B63" s="59" t="str">
        <f ca="1">DFIE!$B$58</f>
        <v>Schweiz</v>
      </c>
      <c r="C63" s="55">
        <f>SUM(C37:C62)</f>
        <v>3720922</v>
      </c>
      <c r="D63" s="55">
        <f>SUM(D37:D62)</f>
        <v>323075694.84800005</v>
      </c>
      <c r="E63" s="49">
        <f>SUM(E37:E62)</f>
        <v>208471297.24800006</v>
      </c>
      <c r="F63" s="50"/>
      <c r="H63" s="34"/>
      <c r="I63" s="34"/>
    </row>
    <row r="64" spans="1:9" ht="14.25" customHeight="1" x14ac:dyDescent="0.25">
      <c r="A64" s="66"/>
    </row>
    <row r="65" spans="1:9" x14ac:dyDescent="0.25">
      <c r="A65" s="584" t="str">
        <f ca="1">DFIE!$B$75</f>
        <v>Bemessungsjahr 2022</v>
      </c>
      <c r="B65" s="60" t="str">
        <f ca="1">DFIE!$B$32</f>
        <v>Zürich</v>
      </c>
      <c r="C65" s="51">
        <v>700633</v>
      </c>
      <c r="D65" s="51">
        <v>69907749.900000006</v>
      </c>
      <c r="E65" s="52">
        <f t="shared" ref="E65:E90" si="2">D65-($I$65/1000*C65)</f>
        <v>48328253.5</v>
      </c>
      <c r="F65" s="46"/>
      <c r="H65" s="39">
        <f>DFIE!$G$3-4</f>
        <v>2022</v>
      </c>
      <c r="I65" s="61">
        <v>30800</v>
      </c>
    </row>
    <row r="66" spans="1:9" x14ac:dyDescent="0.25">
      <c r="A66" s="584"/>
      <c r="B66" s="58" t="str">
        <f ca="1">DFIE!$B$33</f>
        <v>Bern</v>
      </c>
      <c r="C66" s="53">
        <v>454508</v>
      </c>
      <c r="D66" s="53">
        <v>34093409.899999999</v>
      </c>
      <c r="E66" s="47">
        <f t="shared" si="2"/>
        <v>20094563.5</v>
      </c>
      <c r="F66" s="46"/>
    </row>
    <row r="67" spans="1:9" x14ac:dyDescent="0.25">
      <c r="A67" s="584"/>
      <c r="B67" s="57" t="str">
        <f ca="1">DFIE!$B$34</f>
        <v>Luzern</v>
      </c>
      <c r="C67" s="54">
        <v>184784</v>
      </c>
      <c r="D67" s="54">
        <v>14833263.301000001</v>
      </c>
      <c r="E67" s="48">
        <f t="shared" si="2"/>
        <v>9141916.1009999998</v>
      </c>
      <c r="F67" s="46"/>
    </row>
    <row r="68" spans="1:9" x14ac:dyDescent="0.25">
      <c r="A68" s="584"/>
      <c r="B68" s="58" t="str">
        <f ca="1">DFIE!$B$35</f>
        <v>Uri</v>
      </c>
      <c r="C68" s="53">
        <v>16119</v>
      </c>
      <c r="D68" s="53">
        <v>1162109.0989999999</v>
      </c>
      <c r="E68" s="47">
        <f t="shared" si="2"/>
        <v>665643.89899999998</v>
      </c>
      <c r="F68" s="46"/>
    </row>
    <row r="69" spans="1:9" x14ac:dyDescent="0.25">
      <c r="A69" s="584"/>
      <c r="B69" s="57" t="str">
        <f ca="1">DFIE!$B$36</f>
        <v>Schwyz</v>
      </c>
      <c r="C69" s="54">
        <v>75474</v>
      </c>
      <c r="D69" s="54">
        <v>9726574.7390000001</v>
      </c>
      <c r="E69" s="48">
        <f t="shared" si="2"/>
        <v>7401975.5389999999</v>
      </c>
      <c r="F69" s="46"/>
    </row>
    <row r="70" spans="1:9" x14ac:dyDescent="0.25">
      <c r="A70" s="584"/>
      <c r="B70" s="58" t="str">
        <f ca="1">DFIE!$B$37</f>
        <v>Obwalden</v>
      </c>
      <c r="C70" s="53">
        <v>16905</v>
      </c>
      <c r="D70" s="53">
        <v>1501401.2080000001</v>
      </c>
      <c r="E70" s="47">
        <f t="shared" si="2"/>
        <v>980727.2080000001</v>
      </c>
      <c r="F70" s="46"/>
    </row>
    <row r="71" spans="1:9" x14ac:dyDescent="0.25">
      <c r="A71" s="584"/>
      <c r="B71" s="57" t="str">
        <f ca="1">DFIE!$B$38</f>
        <v>Nidwalden</v>
      </c>
      <c r="C71" s="54">
        <v>20866</v>
      </c>
      <c r="D71" s="54">
        <v>2176292.9700000002</v>
      </c>
      <c r="E71" s="48">
        <f t="shared" si="2"/>
        <v>1533620.1700000002</v>
      </c>
      <c r="F71" s="46"/>
    </row>
    <row r="72" spans="1:9" x14ac:dyDescent="0.25">
      <c r="A72" s="584"/>
      <c r="B72" s="58" t="str">
        <f ca="1">DFIE!$B$39</f>
        <v>Glarus</v>
      </c>
      <c r="C72" s="53">
        <v>17576</v>
      </c>
      <c r="D72" s="53">
        <v>1278551.3500000001</v>
      </c>
      <c r="E72" s="47">
        <f t="shared" si="2"/>
        <v>737210.55</v>
      </c>
      <c r="F72" s="46"/>
    </row>
    <row r="73" spans="1:9" x14ac:dyDescent="0.25">
      <c r="A73" s="584"/>
      <c r="B73" s="57" t="str">
        <f ca="1">DFIE!$B$40</f>
        <v>Zug</v>
      </c>
      <c r="C73" s="54">
        <v>60521</v>
      </c>
      <c r="D73" s="54">
        <v>9337660.0150000006</v>
      </c>
      <c r="E73" s="48">
        <f t="shared" si="2"/>
        <v>7473613.2150000008</v>
      </c>
      <c r="F73" s="46"/>
    </row>
    <row r="74" spans="1:9" x14ac:dyDescent="0.25">
      <c r="A74" s="584"/>
      <c r="B74" s="58" t="str">
        <f ca="1">DFIE!$B$41</f>
        <v>Freiburg</v>
      </c>
      <c r="C74" s="53">
        <v>140110</v>
      </c>
      <c r="D74" s="53">
        <v>10677592.304</v>
      </c>
      <c r="E74" s="47">
        <f t="shared" si="2"/>
        <v>6362204.3039999995</v>
      </c>
      <c r="F74" s="46"/>
    </row>
    <row r="75" spans="1:9" x14ac:dyDescent="0.25">
      <c r="A75" s="584"/>
      <c r="B75" s="57" t="str">
        <f ca="1">DFIE!$B$42</f>
        <v>Solothurn</v>
      </c>
      <c r="C75" s="54">
        <v>124829</v>
      </c>
      <c r="D75" s="54">
        <v>9547916.5329999998</v>
      </c>
      <c r="E75" s="48">
        <f t="shared" si="2"/>
        <v>5703183.3329999996</v>
      </c>
      <c r="F75" s="46"/>
    </row>
    <row r="76" spans="1:9" x14ac:dyDescent="0.25">
      <c r="A76" s="584"/>
      <c r="B76" s="58" t="str">
        <f ca="1">DFIE!$B$43</f>
        <v>Basel-Stadt</v>
      </c>
      <c r="C76" s="53">
        <v>84624</v>
      </c>
      <c r="D76" s="53">
        <v>8588842.4680000003</v>
      </c>
      <c r="E76" s="47">
        <f t="shared" si="2"/>
        <v>5982423.2680000002</v>
      </c>
      <c r="F76" s="46"/>
    </row>
    <row r="77" spans="1:9" x14ac:dyDescent="0.25">
      <c r="A77" s="584"/>
      <c r="B77" s="57" t="str">
        <f ca="1">DFIE!$B$44</f>
        <v>Basel-Landschaft</v>
      </c>
      <c r="C77" s="54">
        <v>131813</v>
      </c>
      <c r="D77" s="54">
        <v>12249765.699999999</v>
      </c>
      <c r="E77" s="48">
        <f t="shared" si="2"/>
        <v>8189925.2999999989</v>
      </c>
      <c r="F77" s="46"/>
    </row>
    <row r="78" spans="1:9" x14ac:dyDescent="0.25">
      <c r="A78" s="584"/>
      <c r="B78" s="58" t="str">
        <f ca="1">DFIE!$B$45</f>
        <v>Schaffhausen</v>
      </c>
      <c r="C78" s="53">
        <v>36932</v>
      </c>
      <c r="D78" s="53">
        <v>2875509.3</v>
      </c>
      <c r="E78" s="47">
        <f t="shared" si="2"/>
        <v>1738003.6999999997</v>
      </c>
      <c r="F78" s="46"/>
    </row>
    <row r="79" spans="1:9" x14ac:dyDescent="0.25">
      <c r="A79" s="584"/>
      <c r="B79" s="57" t="str">
        <f ca="1">DFIE!$B$46</f>
        <v>Appenzell A.Rh.</v>
      </c>
      <c r="C79" s="54">
        <v>23905</v>
      </c>
      <c r="D79" s="54">
        <v>1931329.4850000001</v>
      </c>
      <c r="E79" s="48">
        <f t="shared" si="2"/>
        <v>1195055.4850000001</v>
      </c>
      <c r="F79" s="46"/>
    </row>
    <row r="80" spans="1:9" x14ac:dyDescent="0.25">
      <c r="A80" s="584"/>
      <c r="B80" s="58" t="str">
        <f ca="1">DFIE!$B$47</f>
        <v>Appenzell I.Rh.</v>
      </c>
      <c r="C80" s="53">
        <v>7266</v>
      </c>
      <c r="D80" s="53">
        <v>637507.37300000002</v>
      </c>
      <c r="E80" s="47">
        <f t="shared" si="2"/>
        <v>413714.57299999997</v>
      </c>
      <c r="F80" s="46"/>
    </row>
    <row r="81" spans="1:9" x14ac:dyDescent="0.25">
      <c r="A81" s="584"/>
      <c r="B81" s="57" t="str">
        <f ca="1">DFIE!$B$48</f>
        <v>St. Gallen</v>
      </c>
      <c r="C81" s="54">
        <v>222224</v>
      </c>
      <c r="D81" s="54">
        <v>16814890.300000001</v>
      </c>
      <c r="E81" s="48">
        <f t="shared" si="2"/>
        <v>9970391.1000000015</v>
      </c>
      <c r="F81" s="46"/>
    </row>
    <row r="82" spans="1:9" x14ac:dyDescent="0.25">
      <c r="A82" s="584"/>
      <c r="B82" s="58" t="str">
        <f ca="1">DFIE!$B$49</f>
        <v>Graubünden</v>
      </c>
      <c r="C82" s="53">
        <v>87965</v>
      </c>
      <c r="D82" s="53">
        <v>7124583.2410000004</v>
      </c>
      <c r="E82" s="47">
        <f t="shared" si="2"/>
        <v>4415261.2410000004</v>
      </c>
      <c r="F82" s="46"/>
    </row>
    <row r="83" spans="1:9" x14ac:dyDescent="0.25">
      <c r="A83" s="584"/>
      <c r="B83" s="57" t="str">
        <f ca="1">DFIE!$B$50</f>
        <v>Aargau</v>
      </c>
      <c r="C83" s="54">
        <v>315550</v>
      </c>
      <c r="D83" s="54">
        <v>25086531.899999999</v>
      </c>
      <c r="E83" s="48">
        <f t="shared" si="2"/>
        <v>15367591.899999999</v>
      </c>
      <c r="F83" s="46"/>
    </row>
    <row r="84" spans="1:9" x14ac:dyDescent="0.25">
      <c r="A84" s="584"/>
      <c r="B84" s="58" t="str">
        <f ca="1">DFIE!$B$51</f>
        <v>Thurgau</v>
      </c>
      <c r="C84" s="53">
        <v>121904</v>
      </c>
      <c r="D84" s="53">
        <v>9310480.2740000002</v>
      </c>
      <c r="E84" s="47">
        <f t="shared" si="2"/>
        <v>5555837.074</v>
      </c>
      <c r="F84" s="46"/>
    </row>
    <row r="85" spans="1:9" x14ac:dyDescent="0.25">
      <c r="A85" s="584"/>
      <c r="B85" s="57" t="str">
        <f ca="1">DFIE!$B$52</f>
        <v>Tessin</v>
      </c>
      <c r="C85" s="54">
        <v>142064</v>
      </c>
      <c r="D85" s="54">
        <v>11990399.1</v>
      </c>
      <c r="E85" s="48">
        <f t="shared" si="2"/>
        <v>7614827.8999999994</v>
      </c>
      <c r="F85" s="46"/>
    </row>
    <row r="86" spans="1:9" x14ac:dyDescent="0.25">
      <c r="A86" s="584"/>
      <c r="B86" s="58" t="str">
        <f ca="1">DFIE!$B$53</f>
        <v>Waadt</v>
      </c>
      <c r="C86" s="53">
        <v>336982</v>
      </c>
      <c r="D86" s="53">
        <v>31193788.300000001</v>
      </c>
      <c r="E86" s="47">
        <f t="shared" si="2"/>
        <v>20814742.700000003</v>
      </c>
      <c r="F86" s="46"/>
    </row>
    <row r="87" spans="1:9" x14ac:dyDescent="0.25">
      <c r="A87" s="584"/>
      <c r="B87" s="57" t="str">
        <f ca="1">DFIE!$B$54</f>
        <v>Wallis</v>
      </c>
      <c r="C87" s="54">
        <v>151009</v>
      </c>
      <c r="D87" s="54">
        <v>11230906.300000001</v>
      </c>
      <c r="E87" s="48">
        <f t="shared" si="2"/>
        <v>6579829.1000000006</v>
      </c>
      <c r="F87" s="46"/>
    </row>
    <row r="88" spans="1:9" x14ac:dyDescent="0.25">
      <c r="A88" s="584"/>
      <c r="B88" s="58" t="str">
        <f ca="1">DFIE!$B$55</f>
        <v>Neuenburg</v>
      </c>
      <c r="C88" s="53">
        <v>72564</v>
      </c>
      <c r="D88" s="53">
        <v>5467492.2000000002</v>
      </c>
      <c r="E88" s="47">
        <f t="shared" si="2"/>
        <v>3232521</v>
      </c>
      <c r="F88" s="46"/>
    </row>
    <row r="89" spans="1:9" x14ac:dyDescent="0.25">
      <c r="A89" s="584"/>
      <c r="B89" s="57" t="str">
        <f ca="1">DFIE!$B$56</f>
        <v>Genf</v>
      </c>
      <c r="C89" s="54">
        <v>198189</v>
      </c>
      <c r="D89" s="54">
        <v>22328466.399999999</v>
      </c>
      <c r="E89" s="48">
        <f t="shared" si="2"/>
        <v>16224245.199999999</v>
      </c>
      <c r="F89" s="46"/>
    </row>
    <row r="90" spans="1:9" x14ac:dyDescent="0.25">
      <c r="A90" s="584"/>
      <c r="B90" s="58" t="str">
        <f ca="1">DFIE!$B$57</f>
        <v>Jura</v>
      </c>
      <c r="C90" s="53">
        <v>30215</v>
      </c>
      <c r="D90" s="53">
        <v>2093890.6</v>
      </c>
      <c r="E90" s="47">
        <f t="shared" si="2"/>
        <v>1163268.6000000001</v>
      </c>
      <c r="F90" s="46"/>
    </row>
    <row r="91" spans="1:9" x14ac:dyDescent="0.25">
      <c r="A91" s="584"/>
      <c r="B91" s="59" t="str">
        <f ca="1">DFIE!$B$58</f>
        <v>Schweiz</v>
      </c>
      <c r="C91" s="55">
        <f>SUM(C65:C90)</f>
        <v>3775531</v>
      </c>
      <c r="D91" s="55">
        <f>SUM(D65:D90)</f>
        <v>333166904.25999999</v>
      </c>
      <c r="E91" s="49">
        <f>SUM(E65:E90)</f>
        <v>216880549.46000004</v>
      </c>
      <c r="F91" s="56"/>
      <c r="H91" s="34"/>
      <c r="I91" s="34"/>
    </row>
    <row r="93" spans="1:9" x14ac:dyDescent="0.25">
      <c r="H93" s="40"/>
      <c r="I93" s="40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">
    <cfRule type="expression" dxfId="57" priority="2" stopIfTrue="1">
      <formula>ISBLANK(C9)</formula>
    </cfRule>
  </conditionalFormatting>
  <conditionalFormatting sqref="I9 I37 I65">
    <cfRule type="expression" dxfId="56" priority="10" stopIfTrue="1">
      <formula>ISBLANK(I9)</formula>
    </cfRule>
  </conditionalFormatting>
  <pageMargins left="0.78740157480314965" right="0.78740157480314965" top="0.9055118110236221" bottom="0.78740157480314965" header="0.51181102362204722" footer="0.51181102362204722"/>
  <pageSetup paperSize="9" scale="95" fitToHeight="3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Y91"/>
  <sheetViews>
    <sheetView showGridLines="0" zoomScaleNormal="100" zoomScaleSheetLayoutView="70" workbookViewId="0">
      <pane xSplit="2" ySplit="8" topLeftCell="C9" activePane="bottomRight" state="frozen"/>
      <selection activeCell="J20" sqref="J20"/>
      <selection pane="topRight" activeCell="J20" sqref="J20"/>
      <selection pane="bottomLeft" activeCell="J20" sqref="J20"/>
      <selection pane="bottomRight" activeCell="A100" sqref="A100"/>
    </sheetView>
  </sheetViews>
  <sheetFormatPr baseColWidth="10" defaultRowHeight="13.2" x14ac:dyDescent="0.25"/>
  <cols>
    <col min="1" max="1" width="4.44140625" customWidth="1"/>
    <col min="2" max="2" width="17.33203125" customWidth="1"/>
    <col min="3" max="10" width="17.6640625" customWidth="1"/>
    <col min="11" max="11" width="1.44140625" customWidth="1"/>
    <col min="12" max="12" width="11.109375" customWidth="1"/>
    <col min="13" max="13" width="35.6640625" customWidth="1"/>
    <col min="14" max="14" width="17.109375" customWidth="1"/>
    <col min="15" max="15" width="1.44140625" customWidth="1"/>
    <col min="16" max="16" width="17.33203125" customWidth="1"/>
    <col min="17" max="24" width="18.6640625" customWidth="1"/>
    <col min="25" max="25" width="4.44140625" customWidth="1"/>
  </cols>
  <sheetData>
    <row r="1" spans="1:25" ht="22.5" customHeight="1" x14ac:dyDescent="0.3">
      <c r="B1" s="3" t="str">
        <f ca="1">DFIE!$B$91</f>
        <v>Quellenbesteuerte Einkommen natürlicher Personen 2026</v>
      </c>
      <c r="P1" s="3" t="str">
        <f ca="1">B1</f>
        <v>Quellenbesteuerte Einkommen natürlicher Personen 2026</v>
      </c>
    </row>
    <row r="2" spans="1:25" ht="12.75" customHeight="1" x14ac:dyDescent="0.25">
      <c r="A2" s="40"/>
    </row>
    <row r="3" spans="1:25" ht="12.75" customHeight="1" x14ac:dyDescent="0.25">
      <c r="C3" s="587" t="str">
        <f ca="1">DFIE!$B$92</f>
        <v>Bruttoeinkommen</v>
      </c>
      <c r="D3" s="588"/>
      <c r="E3" s="588"/>
      <c r="F3" s="588"/>
      <c r="G3" s="588"/>
      <c r="H3" s="588"/>
      <c r="I3" s="588"/>
      <c r="J3" s="589"/>
      <c r="Q3" s="587" t="str">
        <f ca="1">DFIE!B125</f>
        <v>Massgebende quellenbesteuerte Einkommen</v>
      </c>
      <c r="R3" s="590"/>
      <c r="S3" s="590"/>
      <c r="T3" s="590"/>
      <c r="U3" s="590"/>
      <c r="V3" s="590"/>
      <c r="W3" s="590"/>
      <c r="X3" s="591"/>
    </row>
    <row r="4" spans="1:25" ht="12" customHeight="1" x14ac:dyDescent="0.25">
      <c r="B4" s="102" t="str">
        <f ca="1">DFIE!$B$59</f>
        <v>Spalte</v>
      </c>
      <c r="C4" s="73" t="s">
        <v>30</v>
      </c>
      <c r="D4" s="73" t="s">
        <v>31</v>
      </c>
      <c r="E4" s="73" t="s">
        <v>32</v>
      </c>
      <c r="F4" s="73" t="s">
        <v>43</v>
      </c>
      <c r="G4" s="73" t="s">
        <v>42</v>
      </c>
      <c r="H4" s="73" t="s">
        <v>33</v>
      </c>
      <c r="I4" s="73" t="s">
        <v>82</v>
      </c>
      <c r="J4" s="74" t="s">
        <v>35</v>
      </c>
      <c r="L4" s="34"/>
      <c r="M4" s="34"/>
      <c r="N4" s="34"/>
      <c r="P4" s="102" t="str">
        <f ca="1">DFIE!$B$59</f>
        <v>Spalte</v>
      </c>
      <c r="Q4" s="73" t="s">
        <v>69</v>
      </c>
      <c r="R4" s="73" t="s">
        <v>49</v>
      </c>
      <c r="S4" s="73" t="s">
        <v>48</v>
      </c>
      <c r="T4" s="73" t="s">
        <v>47</v>
      </c>
      <c r="U4" s="73" t="s">
        <v>58</v>
      </c>
      <c r="V4" s="73" t="s">
        <v>70</v>
      </c>
      <c r="W4" s="73" t="s">
        <v>71</v>
      </c>
      <c r="X4" s="74" t="s">
        <v>97</v>
      </c>
    </row>
    <row r="5" spans="1:25" ht="12" customHeight="1" x14ac:dyDescent="0.25">
      <c r="B5" s="102" t="str">
        <f ca="1">DFIE!$B$60</f>
        <v>Formel</v>
      </c>
      <c r="C5" s="103"/>
      <c r="D5" s="103"/>
      <c r="E5" s="103"/>
      <c r="F5" s="103"/>
      <c r="G5" s="103"/>
      <c r="H5" s="103"/>
      <c r="I5" s="103"/>
      <c r="J5" s="106"/>
      <c r="P5" s="102" t="str">
        <f ca="1">DFIE!$B$60</f>
        <v>Formel</v>
      </c>
      <c r="Q5" s="107" t="str">
        <f ca="1">DFIE!$B$126</f>
        <v>C * ω</v>
      </c>
      <c r="R5" s="107" t="str">
        <f ca="1">DFIE!$B$127</f>
        <v>D * ω * Delta</v>
      </c>
      <c r="S5" s="107" t="str">
        <f ca="1">DFIE!$B$128</f>
        <v>E * ω * Delta</v>
      </c>
      <c r="T5" s="107" t="str">
        <f ca="1">DFIE!$B$129</f>
        <v>F * ω * Delta</v>
      </c>
      <c r="U5" s="107" t="str">
        <f ca="1">DFIE!$B$130</f>
        <v>G * ω * Delta</v>
      </c>
      <c r="V5" s="107" t="str">
        <f ca="1">DFIE!$B$131</f>
        <v>H * ω * Delta</v>
      </c>
      <c r="W5" s="107" t="str">
        <f ca="1">DFIE!$B$132</f>
        <v>I * ω * Delta</v>
      </c>
      <c r="X5" s="108" t="str">
        <f ca="1">DFIE!$B$133</f>
        <v>Q+R+S+T+U+V+W</v>
      </c>
    </row>
    <row r="6" spans="1:25" ht="12" customHeight="1" x14ac:dyDescent="0.25">
      <c r="B6" s="102" t="str">
        <f ca="1">DFIE!$B$61</f>
        <v>Kategorie</v>
      </c>
      <c r="C6" s="75">
        <v>0</v>
      </c>
      <c r="D6" s="75">
        <v>1</v>
      </c>
      <c r="E6" s="75" t="s">
        <v>53</v>
      </c>
      <c r="F6" s="75" t="s">
        <v>54</v>
      </c>
      <c r="G6" s="75" t="s">
        <v>55</v>
      </c>
      <c r="H6" s="75" t="s">
        <v>56</v>
      </c>
      <c r="I6" s="75" t="s">
        <v>57</v>
      </c>
      <c r="J6" s="592" t="str">
        <f ca="1">DFIE!$B$100</f>
        <v>Total</v>
      </c>
      <c r="L6" s="34"/>
      <c r="M6" s="34"/>
      <c r="N6" s="34"/>
      <c r="P6" s="102" t="str">
        <f ca="1">DFIE!$B$61</f>
        <v>Kategorie</v>
      </c>
      <c r="Q6" s="104">
        <v>0</v>
      </c>
      <c r="R6" s="104">
        <v>1</v>
      </c>
      <c r="S6" s="104" t="s">
        <v>53</v>
      </c>
      <c r="T6" s="104" t="s">
        <v>54</v>
      </c>
      <c r="U6" s="104" t="s">
        <v>55</v>
      </c>
      <c r="V6" s="104" t="s">
        <v>56</v>
      </c>
      <c r="W6" s="104" t="s">
        <v>57</v>
      </c>
      <c r="X6" s="581" t="str">
        <f ca="1">DFIE!$B$124</f>
        <v>Massgebende
quellenbesteuerte
Einkommen</v>
      </c>
    </row>
    <row r="7" spans="1:25" ht="81" customHeight="1" x14ac:dyDescent="0.25">
      <c r="B7" s="84"/>
      <c r="C7" s="63" t="str">
        <f ca="1">DFIE!$B$93</f>
        <v>Gebietsansässige
Ausländer und
ausländische
Verwaltungsräte</v>
      </c>
      <c r="D7" s="63" t="str">
        <f ca="1">DFIE!$B$94</f>
        <v>Vollständig
besteuerte
Grenzgänger</v>
      </c>
      <c r="E7" s="63" t="str">
        <f ca="1">DFIE!$B$95</f>
        <v>Begrenzt
besteuerte
Grenzgänger
aus Österreich</v>
      </c>
      <c r="F7" s="63" t="str">
        <f ca="1">DFIE!$B$96</f>
        <v>Begrenzt
besteuerte
Grenzgänger
aus Deutschland</v>
      </c>
      <c r="G7" s="63" t="str">
        <f ca="1">DFIE!$B$97</f>
        <v>Begrenzt besteuerte
Grenzgänger aus
Frankreich mit
Besteuerung durch
den Kanton Genf</v>
      </c>
      <c r="H7" s="63" t="str">
        <f ca="1">DFIE!$B$98</f>
        <v>Begrenzt besteuerte
Grenzgänger aus
Frankreich mit
Besteuerung durch
Frankreich</v>
      </c>
      <c r="I7" s="63" t="str">
        <f ca="1">DFIE!B99</f>
        <v>Begrenzt
besteuerte
Grenzgänger
aus Italien</v>
      </c>
      <c r="J7" s="593"/>
      <c r="P7" s="84"/>
      <c r="Q7" s="105" t="str">
        <f ca="1">DFIE!$B$93</f>
        <v>Gebietsansässige
Ausländer und
ausländische
Verwaltungsräte</v>
      </c>
      <c r="R7" s="105" t="str">
        <f ca="1">DFIE!$B$94</f>
        <v>Vollständig
besteuerte
Grenzgänger</v>
      </c>
      <c r="S7" s="105" t="str">
        <f ca="1">DFIE!$B$95</f>
        <v>Begrenzt
besteuerte
Grenzgänger
aus Österreich</v>
      </c>
      <c r="T7" s="105" t="str">
        <f ca="1">DFIE!$B$96</f>
        <v>Begrenzt
besteuerte
Grenzgänger
aus Deutschland</v>
      </c>
      <c r="U7" s="105" t="str">
        <f ca="1">DFIE!$B$97</f>
        <v>Begrenzt besteuerte
Grenzgänger aus
Frankreich mit
Besteuerung durch
den Kanton Genf</v>
      </c>
      <c r="V7" s="105" t="str">
        <f ca="1">DFIE!$B$98</f>
        <v>Begrenzt besteuerte
Grenzgänger aus
Frankreich mit
Besteuerung durch
Frankreich</v>
      </c>
      <c r="W7" s="105" t="str">
        <f ca="1">DFIE!$B$99</f>
        <v>Begrenzt
besteuerte
Grenzgänger
aus Italien</v>
      </c>
      <c r="X7" s="586"/>
    </row>
    <row r="8" spans="1:25" ht="12.75" customHeight="1" x14ac:dyDescent="0.25">
      <c r="B8" s="76" t="str">
        <f ca="1">DFIE!$B$62</f>
        <v>Einheit</v>
      </c>
      <c r="C8" s="35" t="str">
        <f ca="1">DFIE!$B$64</f>
        <v>CHF 1'000</v>
      </c>
      <c r="D8" s="35" t="str">
        <f ca="1">DFIE!$B$64</f>
        <v>CHF 1'000</v>
      </c>
      <c r="E8" s="35" t="str">
        <f ca="1">DFIE!$B$64</f>
        <v>CHF 1'000</v>
      </c>
      <c r="F8" s="35" t="str">
        <f ca="1">DFIE!$B$64</f>
        <v>CHF 1'000</v>
      </c>
      <c r="G8" s="35" t="str">
        <f ca="1">DFIE!$B$64</f>
        <v>CHF 1'000</v>
      </c>
      <c r="H8" s="35" t="str">
        <f ca="1">DFIE!$B$64</f>
        <v>CHF 1'000</v>
      </c>
      <c r="I8" s="35" t="str">
        <f ca="1">DFIE!$B$64</f>
        <v>CHF 1'000</v>
      </c>
      <c r="J8" s="36" t="str">
        <f ca="1">DFIE!$B$64</f>
        <v>CHF 1'000</v>
      </c>
      <c r="P8" s="76" t="str">
        <f ca="1">DFIE!$B$62</f>
        <v>Einheit</v>
      </c>
      <c r="Q8" s="35" t="str">
        <f ca="1">DFIE!$B$64</f>
        <v>CHF 1'000</v>
      </c>
      <c r="R8" s="35" t="str">
        <f ca="1">DFIE!$B$64</f>
        <v>CHF 1'000</v>
      </c>
      <c r="S8" s="35" t="str">
        <f ca="1">DFIE!$B$64</f>
        <v>CHF 1'000</v>
      </c>
      <c r="T8" s="35" t="str">
        <f ca="1">DFIE!$B$64</f>
        <v>CHF 1'000</v>
      </c>
      <c r="U8" s="35" t="str">
        <f ca="1">DFIE!$B$64</f>
        <v>CHF 1'000</v>
      </c>
      <c r="V8" s="35" t="str">
        <f ca="1">DFIE!$B$64</f>
        <v>CHF 1'000</v>
      </c>
      <c r="W8" s="35" t="str">
        <f ca="1">DFIE!$B$64</f>
        <v>CHF 1'000</v>
      </c>
      <c r="X8" s="36" t="str">
        <f ca="1">DFIE!$B$64</f>
        <v>CHF 1'000</v>
      </c>
    </row>
    <row r="9" spans="1:25" x14ac:dyDescent="0.25">
      <c r="A9" s="582" t="str">
        <f ca="1">DFIE!$B$73</f>
        <v>Bemessungsjahr 2020</v>
      </c>
      <c r="B9" s="60" t="str">
        <f ca="1">DFIE!$B$32</f>
        <v>Zürich</v>
      </c>
      <c r="C9" s="51">
        <v>5077971.1849999996</v>
      </c>
      <c r="D9" s="51">
        <v>83312.434999999998</v>
      </c>
      <c r="E9" s="51">
        <v>24366.370999999999</v>
      </c>
      <c r="F9" s="51">
        <v>639520.91399999999</v>
      </c>
      <c r="G9" s="51">
        <v>0</v>
      </c>
      <c r="H9" s="51">
        <v>0</v>
      </c>
      <c r="I9" s="51">
        <v>0</v>
      </c>
      <c r="J9" s="52">
        <f t="shared" ref="J9:J35" si="0">SUM(C9:I9)</f>
        <v>5825170.9049999993</v>
      </c>
      <c r="K9" s="89"/>
      <c r="L9" s="89"/>
      <c r="M9" s="89"/>
      <c r="N9" s="89"/>
      <c r="O9" s="89"/>
      <c r="P9" s="60" t="str">
        <f ca="1">DFIE!$B$32</f>
        <v>Zürich</v>
      </c>
      <c r="Q9" s="93">
        <f>C9*N$16</f>
        <v>1990564.7045199999</v>
      </c>
      <c r="R9" s="94">
        <f>D9*N$17*$N$11</f>
        <v>24493.855889999999</v>
      </c>
      <c r="S9" s="94">
        <f>E9*N$18*$N$11</f>
        <v>6268.2489397500012</v>
      </c>
      <c r="T9" s="94">
        <f>F9*N$19*$N$11</f>
        <v>84642.473911764697</v>
      </c>
      <c r="U9" s="94">
        <f>G9*N$20*N$11</f>
        <v>0</v>
      </c>
      <c r="V9" s="94">
        <f>H9*N$21*N$11</f>
        <v>0</v>
      </c>
      <c r="W9" s="94">
        <f>I9*N$22*N$11</f>
        <v>0</v>
      </c>
      <c r="X9" s="52">
        <f>SUM(Q9:W9)</f>
        <v>2105969.2832615147</v>
      </c>
      <c r="Y9" s="582" t="str">
        <f ca="1">DFIE!$B$73</f>
        <v>Bemessungsjahr 2020</v>
      </c>
    </row>
    <row r="10" spans="1:25" x14ac:dyDescent="0.25">
      <c r="A10" s="582"/>
      <c r="B10" s="58" t="str">
        <f ca="1">DFIE!$B$33</f>
        <v>Bern</v>
      </c>
      <c r="C10" s="53">
        <v>1483506.172</v>
      </c>
      <c r="D10" s="53">
        <v>204859.867</v>
      </c>
      <c r="E10" s="53">
        <v>323.93900000000002</v>
      </c>
      <c r="F10" s="53">
        <v>22139.992999999999</v>
      </c>
      <c r="G10" s="53">
        <v>0</v>
      </c>
      <c r="H10" s="53">
        <v>193990.177</v>
      </c>
      <c r="I10" s="53">
        <v>0</v>
      </c>
      <c r="J10" s="47">
        <f t="shared" si="0"/>
        <v>1904820.148</v>
      </c>
      <c r="K10" s="89"/>
      <c r="L10" s="79" t="str">
        <f ca="1">DFIE!$B$101</f>
        <v>Standardisierter Steuersatz SST(2023)</v>
      </c>
      <c r="M10" s="78"/>
      <c r="N10" s="86">
        <v>0.255</v>
      </c>
      <c r="O10" s="89"/>
      <c r="P10" s="58" t="str">
        <f ca="1">DFIE!$B$33</f>
        <v>Bern</v>
      </c>
      <c r="Q10" s="95">
        <f t="shared" ref="Q10:Q34" si="1">C10*N$16</f>
        <v>581534.41942400008</v>
      </c>
      <c r="R10" s="95">
        <f t="shared" ref="R10:R34" si="2">D10*N$17*$N$11</f>
        <v>60228.800898000001</v>
      </c>
      <c r="S10" s="95">
        <f t="shared" ref="S10:S34" si="3">E10*N$18*$N$11</f>
        <v>83.333307750000017</v>
      </c>
      <c r="T10" s="95">
        <f t="shared" ref="T10:T34" si="4">F10*N$19*$N$11</f>
        <v>2930.2931911764704</v>
      </c>
      <c r="U10" s="95">
        <f t="shared" ref="U10:U34" si="5">G10*N$20*N$11</f>
        <v>0</v>
      </c>
      <c r="V10" s="95">
        <f t="shared" ref="V10:V34" si="6">H10*N$21*N$11</f>
        <v>25675.170485294111</v>
      </c>
      <c r="W10" s="95">
        <f t="shared" ref="W10:W34" si="7">I10*N$22*N$11</f>
        <v>0</v>
      </c>
      <c r="X10" s="47">
        <f t="shared" ref="X10:X34" si="8">SUM(Q10:W10)</f>
        <v>670452.01730622072</v>
      </c>
      <c r="Y10" s="582"/>
    </row>
    <row r="11" spans="1:25" x14ac:dyDescent="0.25">
      <c r="A11" s="582"/>
      <c r="B11" s="57" t="str">
        <f ca="1">DFIE!$B$34</f>
        <v>Luzern</v>
      </c>
      <c r="C11" s="54">
        <v>774273.74699999997</v>
      </c>
      <c r="D11" s="54">
        <v>117374.80499999999</v>
      </c>
      <c r="E11" s="54">
        <v>1222.991</v>
      </c>
      <c r="F11" s="54">
        <v>9939.1149999999998</v>
      </c>
      <c r="G11" s="54">
        <v>0</v>
      </c>
      <c r="H11" s="54">
        <v>0</v>
      </c>
      <c r="I11" s="54">
        <v>0</v>
      </c>
      <c r="J11" s="48">
        <f t="shared" si="0"/>
        <v>902810.65799999994</v>
      </c>
      <c r="K11" s="97"/>
      <c r="L11" s="79" t="str">
        <f ca="1">DFIE!$B$104</f>
        <v>Faktor Delta 2020</v>
      </c>
      <c r="M11" s="79"/>
      <c r="N11" s="86">
        <v>0.75</v>
      </c>
      <c r="O11" s="97"/>
      <c r="P11" s="57" t="str">
        <f ca="1">DFIE!$B$34</f>
        <v>Luzern</v>
      </c>
      <c r="Q11" s="96">
        <f t="shared" si="1"/>
        <v>303515.30882400001</v>
      </c>
      <c r="R11" s="96">
        <f t="shared" si="2"/>
        <v>34508.192669999997</v>
      </c>
      <c r="S11" s="96">
        <f t="shared" si="3"/>
        <v>314.61443475000004</v>
      </c>
      <c r="T11" s="96">
        <f t="shared" si="4"/>
        <v>1315.4711029411762</v>
      </c>
      <c r="U11" s="96">
        <f t="shared" si="5"/>
        <v>0</v>
      </c>
      <c r="V11" s="96">
        <f t="shared" si="6"/>
        <v>0</v>
      </c>
      <c r="W11" s="96">
        <f t="shared" si="7"/>
        <v>0</v>
      </c>
      <c r="X11" s="48">
        <f t="shared" si="8"/>
        <v>339653.58703169122</v>
      </c>
      <c r="Y11" s="582"/>
    </row>
    <row r="12" spans="1:25" x14ac:dyDescent="0.25">
      <c r="A12" s="582"/>
      <c r="B12" s="58" t="str">
        <f ca="1">DFIE!$B$35</f>
        <v>Uri</v>
      </c>
      <c r="C12" s="53">
        <v>83234.436000000002</v>
      </c>
      <c r="D12" s="53">
        <v>1446.0530000000001</v>
      </c>
      <c r="E12" s="53">
        <v>0</v>
      </c>
      <c r="F12" s="53">
        <v>167.41300000000001</v>
      </c>
      <c r="G12" s="53">
        <v>0</v>
      </c>
      <c r="H12" s="53">
        <v>0</v>
      </c>
      <c r="I12" s="53">
        <v>0</v>
      </c>
      <c r="J12" s="47">
        <f t="shared" si="0"/>
        <v>84847.902000000002</v>
      </c>
      <c r="K12" s="41"/>
      <c r="L12" s="41"/>
      <c r="M12" s="41"/>
      <c r="N12" s="98"/>
      <c r="O12" s="41"/>
      <c r="P12" s="58" t="str">
        <f ca="1">DFIE!$B$35</f>
        <v>Uri</v>
      </c>
      <c r="Q12" s="95">
        <f t="shared" si="1"/>
        <v>32627.898912000001</v>
      </c>
      <c r="R12" s="95">
        <f t="shared" si="2"/>
        <v>425.13958200000002</v>
      </c>
      <c r="S12" s="95">
        <f t="shared" si="3"/>
        <v>0</v>
      </c>
      <c r="T12" s="95">
        <f t="shared" si="4"/>
        <v>22.157602941176471</v>
      </c>
      <c r="U12" s="95">
        <f t="shared" si="5"/>
        <v>0</v>
      </c>
      <c r="V12" s="95">
        <f t="shared" si="6"/>
        <v>0</v>
      </c>
      <c r="W12" s="95">
        <f t="shared" si="7"/>
        <v>0</v>
      </c>
      <c r="X12" s="47">
        <f t="shared" si="8"/>
        <v>33075.196096941174</v>
      </c>
      <c r="Y12" s="582"/>
    </row>
    <row r="13" spans="1:25" x14ac:dyDescent="0.25">
      <c r="A13" s="582"/>
      <c r="B13" s="57" t="str">
        <f ca="1">DFIE!$B$36</f>
        <v>Schwyz</v>
      </c>
      <c r="C13" s="54">
        <v>370119.33799999999</v>
      </c>
      <c r="D13" s="54">
        <v>97187.398000000001</v>
      </c>
      <c r="E13" s="54">
        <v>7174.0320000000002</v>
      </c>
      <c r="F13" s="54">
        <v>345.25400000000002</v>
      </c>
      <c r="G13" s="54">
        <v>0</v>
      </c>
      <c r="H13" s="54">
        <v>0</v>
      </c>
      <c r="I13" s="54">
        <v>0</v>
      </c>
      <c r="J13" s="48">
        <f t="shared" si="0"/>
        <v>474826.022</v>
      </c>
      <c r="K13" s="97"/>
      <c r="L13" s="78" t="str">
        <f ca="1">DFIE!$B$107</f>
        <v>Faktor Gamma 2020 (γ)</v>
      </c>
      <c r="M13" s="78"/>
      <c r="N13" s="86">
        <v>0.39200000000000002</v>
      </c>
      <c r="O13" s="97"/>
      <c r="P13" s="57" t="str">
        <f ca="1">DFIE!$B$36</f>
        <v>Schwyz</v>
      </c>
      <c r="Q13" s="96">
        <f t="shared" si="1"/>
        <v>145086.78049599999</v>
      </c>
      <c r="R13" s="96">
        <f t="shared" si="2"/>
        <v>28573.095012000005</v>
      </c>
      <c r="S13" s="96">
        <f t="shared" si="3"/>
        <v>1845.5197320000002</v>
      </c>
      <c r="T13" s="96">
        <f t="shared" si="4"/>
        <v>45.695382352941181</v>
      </c>
      <c r="U13" s="96">
        <f t="shared" si="5"/>
        <v>0</v>
      </c>
      <c r="V13" s="96">
        <f t="shared" si="6"/>
        <v>0</v>
      </c>
      <c r="W13" s="96">
        <f t="shared" si="7"/>
        <v>0</v>
      </c>
      <c r="X13" s="48">
        <f t="shared" si="8"/>
        <v>175551.09062235293</v>
      </c>
      <c r="Y13" s="582"/>
    </row>
    <row r="14" spans="1:25" x14ac:dyDescent="0.25">
      <c r="A14" s="582"/>
      <c r="B14" s="58" t="str">
        <f ca="1">DFIE!$B$37</f>
        <v>Obwalden</v>
      </c>
      <c r="C14" s="53">
        <v>97176.021999999997</v>
      </c>
      <c r="D14" s="53">
        <v>14414.78</v>
      </c>
      <c r="E14" s="53">
        <v>498.73</v>
      </c>
      <c r="F14" s="53">
        <v>792.029</v>
      </c>
      <c r="G14" s="53">
        <v>0</v>
      </c>
      <c r="H14" s="53">
        <v>0</v>
      </c>
      <c r="I14" s="53">
        <v>0</v>
      </c>
      <c r="J14" s="47">
        <f t="shared" si="0"/>
        <v>112881.56099999999</v>
      </c>
      <c r="K14" s="97"/>
      <c r="L14" s="41"/>
      <c r="M14" s="41"/>
      <c r="N14" s="41"/>
      <c r="O14" s="97"/>
      <c r="P14" s="58" t="str">
        <f ca="1">DFIE!$B$37</f>
        <v>Obwalden</v>
      </c>
      <c r="Q14" s="95">
        <f t="shared" si="1"/>
        <v>38093.000624</v>
      </c>
      <c r="R14" s="95">
        <f t="shared" si="2"/>
        <v>4237.9453200000007</v>
      </c>
      <c r="S14" s="95">
        <f t="shared" si="3"/>
        <v>128.29829250000003</v>
      </c>
      <c r="T14" s="95">
        <f t="shared" si="4"/>
        <v>104.82736764705882</v>
      </c>
      <c r="U14" s="95">
        <f t="shared" si="5"/>
        <v>0</v>
      </c>
      <c r="V14" s="95">
        <f t="shared" si="6"/>
        <v>0</v>
      </c>
      <c r="W14" s="95">
        <f t="shared" si="7"/>
        <v>0</v>
      </c>
      <c r="X14" s="47">
        <f t="shared" si="8"/>
        <v>42564.071604147059</v>
      </c>
      <c r="Y14" s="582"/>
    </row>
    <row r="15" spans="1:25" x14ac:dyDescent="0.25">
      <c r="A15" s="582"/>
      <c r="B15" s="57" t="str">
        <f ca="1">DFIE!$B$38</f>
        <v>Nidwalden</v>
      </c>
      <c r="C15" s="54">
        <v>107229.56600000001</v>
      </c>
      <c r="D15" s="54">
        <v>9289.5229999999992</v>
      </c>
      <c r="E15" s="54">
        <v>2431.5219999999999</v>
      </c>
      <c r="F15" s="54">
        <v>516.74800000000005</v>
      </c>
      <c r="G15" s="54">
        <v>0</v>
      </c>
      <c r="H15" s="54">
        <v>0</v>
      </c>
      <c r="I15" s="54">
        <v>0</v>
      </c>
      <c r="J15" s="48">
        <f t="shared" si="0"/>
        <v>119467.35900000001</v>
      </c>
      <c r="K15" s="97"/>
      <c r="L15" s="78" t="str">
        <f ca="1">DFIE!$B$61</f>
        <v>Kategorie</v>
      </c>
      <c r="M15" s="78" t="str">
        <f ca="1">DFIE!$B$114</f>
        <v>Formel für Gewicht</v>
      </c>
      <c r="N15" s="88" t="str">
        <f ca="1">DFIE!$B$115</f>
        <v>Gewicht (ω)</v>
      </c>
      <c r="O15" s="97"/>
      <c r="P15" s="57" t="str">
        <f ca="1">DFIE!$B$38</f>
        <v>Nidwalden</v>
      </c>
      <c r="Q15" s="96">
        <f t="shared" si="1"/>
        <v>42033.989872000006</v>
      </c>
      <c r="R15" s="96">
        <f t="shared" si="2"/>
        <v>2731.1197619999998</v>
      </c>
      <c r="S15" s="96">
        <f t="shared" si="3"/>
        <v>625.5090345000001</v>
      </c>
      <c r="T15" s="96">
        <f t="shared" si="4"/>
        <v>68.393117647058816</v>
      </c>
      <c r="U15" s="96">
        <f t="shared" si="5"/>
        <v>0</v>
      </c>
      <c r="V15" s="96">
        <f t="shared" si="6"/>
        <v>0</v>
      </c>
      <c r="W15" s="96">
        <f t="shared" si="7"/>
        <v>0</v>
      </c>
      <c r="X15" s="48">
        <f t="shared" si="8"/>
        <v>45459.011786147064</v>
      </c>
      <c r="Y15" s="582"/>
    </row>
    <row r="16" spans="1:25" x14ac:dyDescent="0.25">
      <c r="A16" s="582"/>
      <c r="B16" s="58" t="str">
        <f ca="1">DFIE!$B$39</f>
        <v>Glarus</v>
      </c>
      <c r="C16" s="53">
        <v>130227.022</v>
      </c>
      <c r="D16" s="53">
        <v>497.01299999999998</v>
      </c>
      <c r="E16" s="53">
        <v>304.68400000000003</v>
      </c>
      <c r="F16" s="53">
        <v>165.19300000000001</v>
      </c>
      <c r="G16" s="53">
        <v>0</v>
      </c>
      <c r="H16" s="53">
        <v>0</v>
      </c>
      <c r="I16" s="53">
        <v>0</v>
      </c>
      <c r="J16" s="47">
        <f t="shared" si="0"/>
        <v>131193.91200000001</v>
      </c>
      <c r="K16" s="97"/>
      <c r="L16" s="83">
        <v>0</v>
      </c>
      <c r="M16" s="83" t="s">
        <v>64</v>
      </c>
      <c r="N16" s="87">
        <f>N13</f>
        <v>0.39200000000000002</v>
      </c>
      <c r="O16" s="97"/>
      <c r="P16" s="58" t="str">
        <f ca="1">DFIE!$B$39</f>
        <v>Glarus</v>
      </c>
      <c r="Q16" s="95">
        <f t="shared" si="1"/>
        <v>51048.992623999999</v>
      </c>
      <c r="R16" s="95">
        <f t="shared" si="2"/>
        <v>146.12182200000001</v>
      </c>
      <c r="S16" s="95">
        <f t="shared" si="3"/>
        <v>78.379959000000014</v>
      </c>
      <c r="T16" s="95">
        <f t="shared" si="4"/>
        <v>21.863779411764703</v>
      </c>
      <c r="U16" s="95">
        <f t="shared" si="5"/>
        <v>0</v>
      </c>
      <c r="V16" s="95">
        <f t="shared" si="6"/>
        <v>0</v>
      </c>
      <c r="W16" s="95">
        <f t="shared" si="7"/>
        <v>0</v>
      </c>
      <c r="X16" s="47">
        <f t="shared" si="8"/>
        <v>51295.358184411765</v>
      </c>
      <c r="Y16" s="582"/>
    </row>
    <row r="17" spans="1:25" x14ac:dyDescent="0.25">
      <c r="A17" s="582"/>
      <c r="B17" s="57" t="str">
        <f ca="1">DFIE!$B$40</f>
        <v>Zug</v>
      </c>
      <c r="C17" s="54">
        <v>437752.82799999998</v>
      </c>
      <c r="D17" s="54">
        <v>288564.53700000001</v>
      </c>
      <c r="E17" s="54">
        <v>6080.77</v>
      </c>
      <c r="F17" s="54">
        <v>19686.194</v>
      </c>
      <c r="G17" s="54">
        <v>0</v>
      </c>
      <c r="H17" s="54">
        <v>0</v>
      </c>
      <c r="I17" s="54">
        <v>0</v>
      </c>
      <c r="J17" s="48">
        <f t="shared" si="0"/>
        <v>752084.32900000003</v>
      </c>
      <c r="K17" s="97"/>
      <c r="L17" s="83">
        <v>1</v>
      </c>
      <c r="M17" s="83" t="s">
        <v>64</v>
      </c>
      <c r="N17" s="87">
        <f>N13</f>
        <v>0.39200000000000002</v>
      </c>
      <c r="O17" s="97"/>
      <c r="P17" s="57" t="str">
        <f ca="1">DFIE!$B$40</f>
        <v>Zug</v>
      </c>
      <c r="Q17" s="96">
        <f t="shared" si="1"/>
        <v>171599.108576</v>
      </c>
      <c r="R17" s="96">
        <f t="shared" si="2"/>
        <v>84837.973878000004</v>
      </c>
      <c r="S17" s="96">
        <f t="shared" si="3"/>
        <v>1564.2780825</v>
      </c>
      <c r="T17" s="96">
        <f t="shared" si="4"/>
        <v>2605.5256764705878</v>
      </c>
      <c r="U17" s="96">
        <f t="shared" si="5"/>
        <v>0</v>
      </c>
      <c r="V17" s="96">
        <f t="shared" si="6"/>
        <v>0</v>
      </c>
      <c r="W17" s="96">
        <f t="shared" si="7"/>
        <v>0</v>
      </c>
      <c r="X17" s="48">
        <f t="shared" si="8"/>
        <v>260606.88621297062</v>
      </c>
      <c r="Y17" s="582"/>
    </row>
    <row r="18" spans="1:25" x14ac:dyDescent="0.25">
      <c r="A18" s="582"/>
      <c r="B18" s="58" t="str">
        <f ca="1">DFIE!$B$41</f>
        <v>Freiburg</v>
      </c>
      <c r="C18" s="53">
        <v>610304.33700000006</v>
      </c>
      <c r="D18" s="53">
        <v>115728.89</v>
      </c>
      <c r="E18" s="53">
        <v>370.69200000000001</v>
      </c>
      <c r="F18" s="53">
        <v>1427.64</v>
      </c>
      <c r="G18" s="53">
        <v>0</v>
      </c>
      <c r="H18" s="53">
        <v>0</v>
      </c>
      <c r="I18" s="53">
        <v>0</v>
      </c>
      <c r="J18" s="47">
        <f t="shared" si="0"/>
        <v>727831.55900000012</v>
      </c>
      <c r="K18" s="41"/>
      <c r="L18" s="83" t="s">
        <v>53</v>
      </c>
      <c r="M18" s="83" t="s">
        <v>80</v>
      </c>
      <c r="N18" s="87">
        <f>0.875*N13</f>
        <v>0.34300000000000003</v>
      </c>
      <c r="O18" s="41"/>
      <c r="P18" s="58" t="str">
        <f ca="1">DFIE!$B$41</f>
        <v>Freiburg</v>
      </c>
      <c r="Q18" s="95">
        <f t="shared" si="1"/>
        <v>239239.30010400002</v>
      </c>
      <c r="R18" s="95">
        <f t="shared" si="2"/>
        <v>34024.293660000003</v>
      </c>
      <c r="S18" s="95">
        <f t="shared" si="3"/>
        <v>95.360517000000016</v>
      </c>
      <c r="T18" s="95">
        <f t="shared" si="4"/>
        <v>188.95235294117646</v>
      </c>
      <c r="U18" s="95">
        <f t="shared" si="5"/>
        <v>0</v>
      </c>
      <c r="V18" s="95">
        <f t="shared" si="6"/>
        <v>0</v>
      </c>
      <c r="W18" s="95">
        <f t="shared" si="7"/>
        <v>0</v>
      </c>
      <c r="X18" s="47">
        <f t="shared" si="8"/>
        <v>273547.90663394122</v>
      </c>
      <c r="Y18" s="582"/>
    </row>
    <row r="19" spans="1:25" x14ac:dyDescent="0.25">
      <c r="A19" s="582"/>
      <c r="B19" s="57" t="str">
        <f ca="1">DFIE!$B$42</f>
        <v>Solothurn</v>
      </c>
      <c r="C19" s="54">
        <v>503892.20500000002</v>
      </c>
      <c r="D19" s="54">
        <v>37812.055</v>
      </c>
      <c r="E19" s="54">
        <v>1506.944</v>
      </c>
      <c r="F19" s="54">
        <v>55238.571000000004</v>
      </c>
      <c r="G19" s="54">
        <v>0</v>
      </c>
      <c r="H19" s="54">
        <v>97837.142000000007</v>
      </c>
      <c r="I19" s="54">
        <v>0</v>
      </c>
      <c r="J19" s="48">
        <f t="shared" si="0"/>
        <v>696286.91700000002</v>
      </c>
      <c r="K19" s="41"/>
      <c r="L19" s="83" t="s">
        <v>54</v>
      </c>
      <c r="M19" s="83" t="str">
        <f ca="1">DFIE!$B$116</f>
        <v>0.045 / SST(2023)</v>
      </c>
      <c r="N19" s="87">
        <f>0.045/$N$10</f>
        <v>0.1764705882352941</v>
      </c>
      <c r="O19" s="41"/>
      <c r="P19" s="57" t="str">
        <f ca="1">DFIE!$B$42</f>
        <v>Solothurn</v>
      </c>
      <c r="Q19" s="96">
        <f t="shared" si="1"/>
        <v>197525.74436000001</v>
      </c>
      <c r="R19" s="96">
        <f t="shared" si="2"/>
        <v>11116.744170000002</v>
      </c>
      <c r="S19" s="96">
        <f t="shared" si="3"/>
        <v>387.66134399999999</v>
      </c>
      <c r="T19" s="96">
        <f t="shared" si="4"/>
        <v>7310.9873382352935</v>
      </c>
      <c r="U19" s="96">
        <f t="shared" si="5"/>
        <v>0</v>
      </c>
      <c r="V19" s="96">
        <f t="shared" si="6"/>
        <v>12949.033500000001</v>
      </c>
      <c r="W19" s="96">
        <f t="shared" si="7"/>
        <v>0</v>
      </c>
      <c r="X19" s="48">
        <f t="shared" si="8"/>
        <v>229290.17071223527</v>
      </c>
      <c r="Y19" s="582"/>
    </row>
    <row r="20" spans="1:25" x14ac:dyDescent="0.25">
      <c r="A20" s="582"/>
      <c r="B20" s="58" t="str">
        <f ca="1">DFIE!$B$43</f>
        <v>Basel-Stadt</v>
      </c>
      <c r="C20" s="53">
        <v>725357.31099999999</v>
      </c>
      <c r="D20" s="53">
        <v>486407.75900000002</v>
      </c>
      <c r="E20" s="53">
        <v>3565.81</v>
      </c>
      <c r="F20" s="53">
        <v>1584652.3459999999</v>
      </c>
      <c r="G20" s="53">
        <v>0</v>
      </c>
      <c r="H20" s="53">
        <v>1696220.5919999999</v>
      </c>
      <c r="I20" s="53">
        <v>0</v>
      </c>
      <c r="J20" s="47">
        <f t="shared" si="0"/>
        <v>4496203.818</v>
      </c>
      <c r="K20" s="41"/>
      <c r="L20" s="83" t="s">
        <v>55</v>
      </c>
      <c r="M20" s="83" t="str">
        <f ca="1">DFIE!$B$117</f>
        <v>γ - 0.035 / SST(2023)</v>
      </c>
      <c r="N20" s="87">
        <f>N13-0.035/$N$10</f>
        <v>0.25474509803921569</v>
      </c>
      <c r="O20" s="41"/>
      <c r="P20" s="58" t="str">
        <f ca="1">DFIE!$B$43</f>
        <v>Basel-Stadt</v>
      </c>
      <c r="Q20" s="95">
        <f t="shared" si="1"/>
        <v>284340.06591200002</v>
      </c>
      <c r="R20" s="95">
        <f t="shared" si="2"/>
        <v>143003.881146</v>
      </c>
      <c r="S20" s="95">
        <f t="shared" si="3"/>
        <v>917.30462250000005</v>
      </c>
      <c r="T20" s="95">
        <f t="shared" si="4"/>
        <v>209733.39873529409</v>
      </c>
      <c r="U20" s="95">
        <f t="shared" si="5"/>
        <v>0</v>
      </c>
      <c r="V20" s="95">
        <f t="shared" si="6"/>
        <v>224499.78423529409</v>
      </c>
      <c r="W20" s="95">
        <f t="shared" si="7"/>
        <v>0</v>
      </c>
      <c r="X20" s="47">
        <f t="shared" si="8"/>
        <v>862494.4346510882</v>
      </c>
      <c r="Y20" s="582"/>
    </row>
    <row r="21" spans="1:25" x14ac:dyDescent="0.25">
      <c r="A21" s="582"/>
      <c r="B21" s="57" t="str">
        <f ca="1">DFIE!$B$44</f>
        <v>Basel-Landschaft</v>
      </c>
      <c r="C21" s="54">
        <v>422434.56699999998</v>
      </c>
      <c r="D21" s="54">
        <v>111544.58100000001</v>
      </c>
      <c r="E21" s="54">
        <v>1999.336</v>
      </c>
      <c r="F21" s="54">
        <v>817196.45</v>
      </c>
      <c r="G21" s="54">
        <v>0</v>
      </c>
      <c r="H21" s="54">
        <v>1050680.044</v>
      </c>
      <c r="I21" s="54">
        <v>0</v>
      </c>
      <c r="J21" s="48">
        <f t="shared" si="0"/>
        <v>2403854.9780000001</v>
      </c>
      <c r="K21" s="41"/>
      <c r="L21" s="83" t="s">
        <v>56</v>
      </c>
      <c r="M21" s="83" t="str">
        <f ca="1">DFIE!$B$116</f>
        <v>0.045 / SST(2023)</v>
      </c>
      <c r="N21" s="87">
        <f>0.045/$N$10</f>
        <v>0.1764705882352941</v>
      </c>
      <c r="O21" s="41"/>
      <c r="P21" s="57" t="str">
        <f ca="1">DFIE!$B$44</f>
        <v>Basel-Landschaft</v>
      </c>
      <c r="Q21" s="96">
        <f t="shared" si="1"/>
        <v>165594.35026400001</v>
      </c>
      <c r="R21" s="96">
        <f t="shared" si="2"/>
        <v>32794.106814000006</v>
      </c>
      <c r="S21" s="96">
        <f t="shared" si="3"/>
        <v>514.32918600000005</v>
      </c>
      <c r="T21" s="96">
        <f t="shared" si="4"/>
        <v>108158.35367647056</v>
      </c>
      <c r="U21" s="96">
        <f t="shared" si="5"/>
        <v>0</v>
      </c>
      <c r="V21" s="96">
        <f t="shared" si="6"/>
        <v>139060.59405882351</v>
      </c>
      <c r="W21" s="96">
        <f t="shared" si="7"/>
        <v>0</v>
      </c>
      <c r="X21" s="48">
        <f t="shared" si="8"/>
        <v>446121.73399929411</v>
      </c>
      <c r="Y21" s="582"/>
    </row>
    <row r="22" spans="1:25" x14ac:dyDescent="0.25">
      <c r="A22" s="582"/>
      <c r="B22" s="58" t="str">
        <f ca="1">DFIE!$B$45</f>
        <v>Schaffhausen</v>
      </c>
      <c r="C22" s="53">
        <v>186942.65900000001</v>
      </c>
      <c r="D22" s="53">
        <v>33047.627999999997</v>
      </c>
      <c r="E22" s="53">
        <v>1592.5820000000001</v>
      </c>
      <c r="F22" s="53">
        <v>407562.55599999998</v>
      </c>
      <c r="G22" s="53">
        <v>0</v>
      </c>
      <c r="H22" s="53">
        <v>0</v>
      </c>
      <c r="I22" s="53">
        <v>0</v>
      </c>
      <c r="J22" s="47">
        <f t="shared" si="0"/>
        <v>629145.42500000005</v>
      </c>
      <c r="K22" s="41"/>
      <c r="L22" s="83" t="s">
        <v>57</v>
      </c>
      <c r="M22" s="83" t="s">
        <v>81</v>
      </c>
      <c r="N22" s="87">
        <f>0.6*N13</f>
        <v>0.23519999999999999</v>
      </c>
      <c r="O22" s="41"/>
      <c r="P22" s="58" t="str">
        <f ca="1">DFIE!$B$45</f>
        <v>Schaffhausen</v>
      </c>
      <c r="Q22" s="95">
        <f t="shared" si="1"/>
        <v>73281.522328000006</v>
      </c>
      <c r="R22" s="95">
        <f t="shared" si="2"/>
        <v>9716.0026319999997</v>
      </c>
      <c r="S22" s="95">
        <f t="shared" si="3"/>
        <v>409.69171950000009</v>
      </c>
      <c r="T22" s="95">
        <f t="shared" si="4"/>
        <v>53942.102999999988</v>
      </c>
      <c r="U22" s="95">
        <f t="shared" si="5"/>
        <v>0</v>
      </c>
      <c r="V22" s="95">
        <f t="shared" si="6"/>
        <v>0</v>
      </c>
      <c r="W22" s="95">
        <f t="shared" si="7"/>
        <v>0</v>
      </c>
      <c r="X22" s="47">
        <f t="shared" si="8"/>
        <v>137349.31967950001</v>
      </c>
      <c r="Y22" s="582"/>
    </row>
    <row r="23" spans="1:25" x14ac:dyDescent="0.25">
      <c r="A23" s="582"/>
      <c r="B23" s="57" t="str">
        <f ca="1">DFIE!$B$46</f>
        <v>Appenzell A.Rh.</v>
      </c>
      <c r="C23" s="54">
        <v>27632.111000000001</v>
      </c>
      <c r="D23" s="54">
        <v>28104.901000000002</v>
      </c>
      <c r="E23" s="54">
        <v>18610.02</v>
      </c>
      <c r="F23" s="54">
        <v>4966.1450000000004</v>
      </c>
      <c r="G23" s="54">
        <v>0</v>
      </c>
      <c r="H23" s="54">
        <v>0</v>
      </c>
      <c r="I23" s="54">
        <v>0</v>
      </c>
      <c r="J23" s="48">
        <f t="shared" si="0"/>
        <v>79313.177000000011</v>
      </c>
      <c r="K23" s="41"/>
      <c r="L23" s="41"/>
      <c r="M23" s="41"/>
      <c r="N23" s="41"/>
      <c r="O23" s="41"/>
      <c r="P23" s="57" t="str">
        <f ca="1">DFIE!$B$46</f>
        <v>Appenzell A.Rh.</v>
      </c>
      <c r="Q23" s="96">
        <f t="shared" si="1"/>
        <v>10831.787512000001</v>
      </c>
      <c r="R23" s="96">
        <f t="shared" si="2"/>
        <v>8262.8408940000008</v>
      </c>
      <c r="S23" s="96">
        <f t="shared" si="3"/>
        <v>4787.4276450000007</v>
      </c>
      <c r="T23" s="96">
        <f t="shared" si="4"/>
        <v>657.28389705882353</v>
      </c>
      <c r="U23" s="96">
        <f t="shared" si="5"/>
        <v>0</v>
      </c>
      <c r="V23" s="96">
        <f t="shared" si="6"/>
        <v>0</v>
      </c>
      <c r="W23" s="96">
        <f t="shared" si="7"/>
        <v>0</v>
      </c>
      <c r="X23" s="48">
        <f t="shared" si="8"/>
        <v>24539.339948058827</v>
      </c>
      <c r="Y23" s="582"/>
    </row>
    <row r="24" spans="1:25" x14ac:dyDescent="0.25">
      <c r="A24" s="582"/>
      <c r="B24" s="58" t="str">
        <f ca="1">DFIE!$B$47</f>
        <v>Appenzell I.Rh.</v>
      </c>
      <c r="C24" s="53">
        <v>20371.538</v>
      </c>
      <c r="D24" s="53">
        <v>2834.761</v>
      </c>
      <c r="E24" s="53">
        <v>4434.9189999999999</v>
      </c>
      <c r="F24" s="53">
        <v>813.08900000000006</v>
      </c>
      <c r="G24" s="53">
        <v>0</v>
      </c>
      <c r="H24" s="53">
        <v>0</v>
      </c>
      <c r="I24" s="53">
        <v>0</v>
      </c>
      <c r="J24" s="47">
        <f t="shared" si="0"/>
        <v>28454.307000000001</v>
      </c>
      <c r="K24" s="41"/>
      <c r="L24" s="41"/>
      <c r="M24" s="41"/>
      <c r="N24" s="41"/>
      <c r="O24" s="41"/>
      <c r="P24" s="58" t="str">
        <f ca="1">DFIE!$B$47</f>
        <v>Appenzell I.Rh.</v>
      </c>
      <c r="Q24" s="95">
        <f t="shared" si="1"/>
        <v>7985.6428960000003</v>
      </c>
      <c r="R24" s="95">
        <f t="shared" si="2"/>
        <v>833.41973400000006</v>
      </c>
      <c r="S24" s="95">
        <f t="shared" si="3"/>
        <v>1140.8829127500001</v>
      </c>
      <c r="T24" s="95">
        <f t="shared" si="4"/>
        <v>107.61472058823529</v>
      </c>
      <c r="U24" s="95">
        <f t="shared" si="5"/>
        <v>0</v>
      </c>
      <c r="V24" s="95">
        <f t="shared" si="6"/>
        <v>0</v>
      </c>
      <c r="W24" s="95">
        <f t="shared" si="7"/>
        <v>0</v>
      </c>
      <c r="X24" s="47">
        <f t="shared" si="8"/>
        <v>10067.560263338235</v>
      </c>
      <c r="Y24" s="582"/>
    </row>
    <row r="25" spans="1:25" x14ac:dyDescent="0.25">
      <c r="A25" s="582"/>
      <c r="B25" s="57" t="str">
        <f ca="1">DFIE!$B$48</f>
        <v>St. Gallen</v>
      </c>
      <c r="C25" s="54">
        <v>914395.94200000004</v>
      </c>
      <c r="D25" s="54">
        <v>129661.541</v>
      </c>
      <c r="E25" s="54">
        <v>501652.728</v>
      </c>
      <c r="F25" s="54">
        <v>111070.552</v>
      </c>
      <c r="G25" s="54">
        <v>0</v>
      </c>
      <c r="H25" s="54">
        <v>0</v>
      </c>
      <c r="I25" s="54">
        <v>0</v>
      </c>
      <c r="J25" s="48">
        <f t="shared" si="0"/>
        <v>1656780.763</v>
      </c>
      <c r="K25" s="41"/>
      <c r="L25" s="41"/>
      <c r="M25" s="41"/>
      <c r="N25" s="41"/>
      <c r="O25" s="41"/>
      <c r="P25" s="57" t="str">
        <f ca="1">DFIE!$B$48</f>
        <v>St. Gallen</v>
      </c>
      <c r="Q25" s="96">
        <f t="shared" si="1"/>
        <v>358443.209264</v>
      </c>
      <c r="R25" s="96">
        <f t="shared" si="2"/>
        <v>38120.493054000006</v>
      </c>
      <c r="S25" s="96">
        <f t="shared" si="3"/>
        <v>129050.16427800001</v>
      </c>
      <c r="T25" s="96">
        <f t="shared" si="4"/>
        <v>14700.514235294115</v>
      </c>
      <c r="U25" s="96">
        <f t="shared" si="5"/>
        <v>0</v>
      </c>
      <c r="V25" s="96">
        <f t="shared" si="6"/>
        <v>0</v>
      </c>
      <c r="W25" s="96">
        <f t="shared" si="7"/>
        <v>0</v>
      </c>
      <c r="X25" s="48">
        <f t="shared" si="8"/>
        <v>540314.38083129411</v>
      </c>
      <c r="Y25" s="582"/>
    </row>
    <row r="26" spans="1:25" x14ac:dyDescent="0.25">
      <c r="A26" s="582"/>
      <c r="B26" s="58" t="str">
        <f ca="1">DFIE!$B$49</f>
        <v>Graubünden</v>
      </c>
      <c r="C26" s="53">
        <v>909621.09900000005</v>
      </c>
      <c r="D26" s="53">
        <v>227520.93900000001</v>
      </c>
      <c r="E26" s="53">
        <v>24781.912</v>
      </c>
      <c r="F26" s="53">
        <v>1498.6949999999999</v>
      </c>
      <c r="G26" s="53">
        <v>0</v>
      </c>
      <c r="H26" s="53">
        <v>0</v>
      </c>
      <c r="I26" s="53">
        <v>125895.36599999999</v>
      </c>
      <c r="J26" s="47">
        <f t="shared" si="0"/>
        <v>1289318.0110000002</v>
      </c>
      <c r="K26" s="41"/>
      <c r="L26" s="41"/>
      <c r="M26" s="41"/>
      <c r="N26" s="41"/>
      <c r="O26" s="41"/>
      <c r="P26" s="58" t="str">
        <f ca="1">DFIE!$B$49</f>
        <v>Graubünden</v>
      </c>
      <c r="Q26" s="95">
        <f t="shared" si="1"/>
        <v>356571.47080800001</v>
      </c>
      <c r="R26" s="95">
        <f t="shared" si="2"/>
        <v>66891.15606600001</v>
      </c>
      <c r="S26" s="95">
        <f t="shared" si="3"/>
        <v>6375.1468620000014</v>
      </c>
      <c r="T26" s="95">
        <f t="shared" si="4"/>
        <v>198.35669117647058</v>
      </c>
      <c r="U26" s="95">
        <f t="shared" si="5"/>
        <v>0</v>
      </c>
      <c r="V26" s="95">
        <f t="shared" si="6"/>
        <v>0</v>
      </c>
      <c r="W26" s="95">
        <f t="shared" si="7"/>
        <v>22207.9425624</v>
      </c>
      <c r="X26" s="47">
        <f t="shared" si="8"/>
        <v>452244.0729895765</v>
      </c>
      <c r="Y26" s="582"/>
    </row>
    <row r="27" spans="1:25" x14ac:dyDescent="0.25">
      <c r="A27" s="582"/>
      <c r="B27" s="57" t="str">
        <f ca="1">DFIE!$B$50</f>
        <v>Aargau</v>
      </c>
      <c r="C27" s="54">
        <v>1446109.733</v>
      </c>
      <c r="D27" s="54">
        <v>364184.304</v>
      </c>
      <c r="E27" s="54">
        <v>5412.1360000000004</v>
      </c>
      <c r="F27" s="54">
        <v>1017616.584</v>
      </c>
      <c r="G27" s="54">
        <v>0</v>
      </c>
      <c r="H27" s="54">
        <v>0</v>
      </c>
      <c r="I27" s="54">
        <v>0</v>
      </c>
      <c r="J27" s="48">
        <f t="shared" si="0"/>
        <v>2833322.7570000002</v>
      </c>
      <c r="K27" s="41"/>
      <c r="L27" s="41"/>
      <c r="M27" s="41"/>
      <c r="N27" s="41"/>
      <c r="O27" s="41"/>
      <c r="P27" s="57" t="str">
        <f ca="1">DFIE!$B$50</f>
        <v>Aargau</v>
      </c>
      <c r="Q27" s="96">
        <f t="shared" si="1"/>
        <v>566875.01533600001</v>
      </c>
      <c r="R27" s="96">
        <f t="shared" si="2"/>
        <v>107070.18537600001</v>
      </c>
      <c r="S27" s="96">
        <f t="shared" si="3"/>
        <v>1392.2719860000002</v>
      </c>
      <c r="T27" s="96">
        <f t="shared" si="4"/>
        <v>134684.54788235293</v>
      </c>
      <c r="U27" s="96">
        <f t="shared" si="5"/>
        <v>0</v>
      </c>
      <c r="V27" s="96">
        <f t="shared" si="6"/>
        <v>0</v>
      </c>
      <c r="W27" s="96">
        <f t="shared" si="7"/>
        <v>0</v>
      </c>
      <c r="X27" s="48">
        <f t="shared" si="8"/>
        <v>810022.02058035298</v>
      </c>
      <c r="Y27" s="582"/>
    </row>
    <row r="28" spans="1:25" x14ac:dyDescent="0.25">
      <c r="A28" s="582"/>
      <c r="B28" s="58" t="str">
        <f ca="1">DFIE!$B$51</f>
        <v>Thurgau</v>
      </c>
      <c r="C28" s="53">
        <v>767206.13500000001</v>
      </c>
      <c r="D28" s="53">
        <v>93891.89</v>
      </c>
      <c r="E28" s="53">
        <v>21609.646000000001</v>
      </c>
      <c r="F28" s="53">
        <v>338117.36</v>
      </c>
      <c r="G28" s="53">
        <v>0</v>
      </c>
      <c r="H28" s="53">
        <v>0</v>
      </c>
      <c r="I28" s="53">
        <v>0</v>
      </c>
      <c r="J28" s="47">
        <f t="shared" si="0"/>
        <v>1220825.031</v>
      </c>
      <c r="K28" s="41"/>
      <c r="L28" s="41"/>
      <c r="M28" s="41"/>
      <c r="N28" s="41"/>
      <c r="O28" s="41"/>
      <c r="P28" s="58" t="str">
        <f ca="1">DFIE!$B$51</f>
        <v>Thurgau</v>
      </c>
      <c r="Q28" s="95">
        <f t="shared" si="1"/>
        <v>300744.80492000002</v>
      </c>
      <c r="R28" s="95">
        <f t="shared" si="2"/>
        <v>27604.215660000002</v>
      </c>
      <c r="S28" s="95">
        <f t="shared" si="3"/>
        <v>5559.0814335000014</v>
      </c>
      <c r="T28" s="95">
        <f t="shared" si="4"/>
        <v>44750.827058823525</v>
      </c>
      <c r="U28" s="95">
        <f t="shared" si="5"/>
        <v>0</v>
      </c>
      <c r="V28" s="95">
        <f t="shared" si="6"/>
        <v>0</v>
      </c>
      <c r="W28" s="95">
        <f t="shared" si="7"/>
        <v>0</v>
      </c>
      <c r="X28" s="47">
        <f t="shared" si="8"/>
        <v>378658.92907232355</v>
      </c>
      <c r="Y28" s="582"/>
    </row>
    <row r="29" spans="1:25" x14ac:dyDescent="0.25">
      <c r="A29" s="582"/>
      <c r="B29" s="57" t="str">
        <f ca="1">DFIE!$B$52</f>
        <v>Tessin</v>
      </c>
      <c r="C29" s="54">
        <v>919892.86100000003</v>
      </c>
      <c r="D29" s="54">
        <v>609624.38699999999</v>
      </c>
      <c r="E29" s="54">
        <v>905.35</v>
      </c>
      <c r="F29" s="54">
        <v>0</v>
      </c>
      <c r="G29" s="54">
        <v>0</v>
      </c>
      <c r="H29" s="54">
        <v>0</v>
      </c>
      <c r="I29" s="54">
        <v>3365204.6189999999</v>
      </c>
      <c r="J29" s="48">
        <f t="shared" si="0"/>
        <v>4895627.2170000002</v>
      </c>
      <c r="K29" s="41"/>
      <c r="L29" s="41"/>
      <c r="M29" s="41"/>
      <c r="N29" s="98"/>
      <c r="O29" s="41"/>
      <c r="P29" s="57" t="str">
        <f ca="1">DFIE!$B$52</f>
        <v>Tessin</v>
      </c>
      <c r="Q29" s="96">
        <f t="shared" si="1"/>
        <v>360598.00151200005</v>
      </c>
      <c r="R29" s="96">
        <f t="shared" si="2"/>
        <v>179229.569778</v>
      </c>
      <c r="S29" s="96">
        <f t="shared" si="3"/>
        <v>232.90128750000002</v>
      </c>
      <c r="T29" s="96">
        <f t="shared" si="4"/>
        <v>0</v>
      </c>
      <c r="U29" s="96">
        <f t="shared" si="5"/>
        <v>0</v>
      </c>
      <c r="V29" s="96">
        <f t="shared" si="6"/>
        <v>0</v>
      </c>
      <c r="W29" s="96">
        <f t="shared" si="7"/>
        <v>593622.09479160002</v>
      </c>
      <c r="X29" s="48">
        <f t="shared" si="8"/>
        <v>1133682.5673691002</v>
      </c>
      <c r="Y29" s="582"/>
    </row>
    <row r="30" spans="1:25" x14ac:dyDescent="0.25">
      <c r="A30" s="582"/>
      <c r="B30" s="58" t="str">
        <f ca="1">DFIE!$B$53</f>
        <v>Waadt</v>
      </c>
      <c r="C30" s="53">
        <v>2581018.69</v>
      </c>
      <c r="D30" s="53">
        <v>0</v>
      </c>
      <c r="E30" s="53">
        <v>0</v>
      </c>
      <c r="F30" s="53">
        <v>0</v>
      </c>
      <c r="G30" s="53">
        <v>0</v>
      </c>
      <c r="H30" s="53">
        <v>2778456.7340000002</v>
      </c>
      <c r="I30" s="53">
        <v>0</v>
      </c>
      <c r="J30" s="47">
        <f t="shared" si="0"/>
        <v>5359475.4240000006</v>
      </c>
      <c r="K30" s="41"/>
      <c r="L30" s="41"/>
      <c r="M30" s="41"/>
      <c r="N30" s="41"/>
      <c r="O30" s="41"/>
      <c r="P30" s="58" t="str">
        <f ca="1">DFIE!$B$53</f>
        <v>Waadt</v>
      </c>
      <c r="Q30" s="95">
        <f t="shared" si="1"/>
        <v>1011759.32648</v>
      </c>
      <c r="R30" s="95">
        <f t="shared" si="2"/>
        <v>0</v>
      </c>
      <c r="S30" s="95">
        <f t="shared" si="3"/>
        <v>0</v>
      </c>
      <c r="T30" s="95">
        <f t="shared" si="4"/>
        <v>0</v>
      </c>
      <c r="U30" s="95">
        <f t="shared" si="5"/>
        <v>0</v>
      </c>
      <c r="V30" s="95">
        <f t="shared" si="6"/>
        <v>367736.92067647056</v>
      </c>
      <c r="W30" s="95">
        <f t="shared" si="7"/>
        <v>0</v>
      </c>
      <c r="X30" s="47">
        <f t="shared" si="8"/>
        <v>1379496.2471564705</v>
      </c>
      <c r="Y30" s="582"/>
    </row>
    <row r="31" spans="1:25" x14ac:dyDescent="0.25">
      <c r="A31" s="582"/>
      <c r="B31" s="57" t="str">
        <f ca="1">DFIE!$B$54</f>
        <v>Wallis</v>
      </c>
      <c r="C31" s="54">
        <v>956979.47699999996</v>
      </c>
      <c r="D31" s="54">
        <v>10431.983</v>
      </c>
      <c r="E31" s="54">
        <v>0</v>
      </c>
      <c r="F31" s="54">
        <v>1985.8679999999999</v>
      </c>
      <c r="G31" s="54">
        <v>0</v>
      </c>
      <c r="H31" s="54">
        <v>118785.13400000001</v>
      </c>
      <c r="I31" s="54">
        <v>82252.495999999999</v>
      </c>
      <c r="J31" s="48">
        <f t="shared" si="0"/>
        <v>1170434.9580000001</v>
      </c>
      <c r="K31" s="41"/>
      <c r="L31" s="41"/>
      <c r="M31" s="41"/>
      <c r="N31" s="41"/>
      <c r="O31" s="41"/>
      <c r="P31" s="57" t="str">
        <f ca="1">DFIE!$B$54</f>
        <v>Wallis</v>
      </c>
      <c r="Q31" s="96">
        <f t="shared" si="1"/>
        <v>375135.95498400001</v>
      </c>
      <c r="R31" s="96">
        <f t="shared" si="2"/>
        <v>3067.0030019999999</v>
      </c>
      <c r="S31" s="96">
        <f t="shared" si="3"/>
        <v>0</v>
      </c>
      <c r="T31" s="96">
        <f t="shared" si="4"/>
        <v>262.83547058823524</v>
      </c>
      <c r="U31" s="96">
        <f t="shared" si="5"/>
        <v>0</v>
      </c>
      <c r="V31" s="96">
        <f t="shared" si="6"/>
        <v>15721.561852941175</v>
      </c>
      <c r="W31" s="96">
        <f t="shared" si="7"/>
        <v>14509.340294400001</v>
      </c>
      <c r="X31" s="48">
        <f t="shared" si="8"/>
        <v>408696.6956039294</v>
      </c>
      <c r="Y31" s="582"/>
    </row>
    <row r="32" spans="1:25" x14ac:dyDescent="0.25">
      <c r="A32" s="582"/>
      <c r="B32" s="58" t="str">
        <f ca="1">DFIE!$B$55</f>
        <v>Neuenburg</v>
      </c>
      <c r="C32" s="53">
        <v>305654.511</v>
      </c>
      <c r="D32" s="53">
        <v>95435.551999999996</v>
      </c>
      <c r="E32" s="53">
        <v>0</v>
      </c>
      <c r="F32" s="53">
        <v>880.52</v>
      </c>
      <c r="G32" s="53">
        <v>0</v>
      </c>
      <c r="H32" s="53">
        <v>1065143.1580000001</v>
      </c>
      <c r="I32" s="53">
        <v>0</v>
      </c>
      <c r="J32" s="47">
        <f t="shared" si="0"/>
        <v>1467113.7409999999</v>
      </c>
      <c r="K32" s="41"/>
      <c r="L32" s="41"/>
      <c r="M32" s="41"/>
      <c r="N32" s="41"/>
      <c r="O32" s="41"/>
      <c r="P32" s="58" t="str">
        <f ca="1">DFIE!$B$55</f>
        <v>Neuenburg</v>
      </c>
      <c r="Q32" s="95">
        <f t="shared" si="1"/>
        <v>119816.568312</v>
      </c>
      <c r="R32" s="95">
        <f t="shared" si="2"/>
        <v>28058.052288000003</v>
      </c>
      <c r="S32" s="95">
        <f t="shared" si="3"/>
        <v>0</v>
      </c>
      <c r="T32" s="95">
        <f t="shared" si="4"/>
        <v>116.53941176470587</v>
      </c>
      <c r="U32" s="95">
        <f t="shared" si="5"/>
        <v>0</v>
      </c>
      <c r="V32" s="95">
        <f t="shared" si="6"/>
        <v>140974.8297352941</v>
      </c>
      <c r="W32" s="95">
        <f t="shared" si="7"/>
        <v>0</v>
      </c>
      <c r="X32" s="47">
        <f t="shared" si="8"/>
        <v>288965.98974705883</v>
      </c>
      <c r="Y32" s="582"/>
    </row>
    <row r="33" spans="1:25" x14ac:dyDescent="0.25">
      <c r="A33" s="582"/>
      <c r="B33" s="57" t="str">
        <f ca="1">DFIE!$B$56</f>
        <v>Genf</v>
      </c>
      <c r="C33" s="54">
        <v>2090504.202</v>
      </c>
      <c r="D33" s="54">
        <v>742188.10400000005</v>
      </c>
      <c r="E33" s="54">
        <v>3790.125</v>
      </c>
      <c r="F33" s="54">
        <v>0</v>
      </c>
      <c r="G33" s="54">
        <v>9324279.4079999998</v>
      </c>
      <c r="H33" s="54">
        <v>0</v>
      </c>
      <c r="I33" s="54">
        <v>0</v>
      </c>
      <c r="J33" s="48">
        <f t="shared" si="0"/>
        <v>12160761.839</v>
      </c>
      <c r="K33" s="41"/>
      <c r="L33" s="41"/>
      <c r="M33" s="41"/>
      <c r="N33" s="41"/>
      <c r="O33" s="41"/>
      <c r="P33" s="57" t="str">
        <f ca="1">DFIE!$B$56</f>
        <v>Genf</v>
      </c>
      <c r="Q33" s="96">
        <f t="shared" si="1"/>
        <v>819477.647184</v>
      </c>
      <c r="R33" s="96">
        <f t="shared" si="2"/>
        <v>218203.30257599999</v>
      </c>
      <c r="S33" s="96">
        <f t="shared" si="3"/>
        <v>975.00965625000003</v>
      </c>
      <c r="T33" s="96">
        <f t="shared" si="4"/>
        <v>0</v>
      </c>
      <c r="U33" s="96">
        <f t="shared" si="5"/>
        <v>1781485.8539519999</v>
      </c>
      <c r="V33" s="96">
        <f t="shared" si="6"/>
        <v>0</v>
      </c>
      <c r="W33" s="96">
        <f t="shared" si="7"/>
        <v>0</v>
      </c>
      <c r="X33" s="48">
        <f t="shared" si="8"/>
        <v>2820141.8133682497</v>
      </c>
      <c r="Y33" s="582"/>
    </row>
    <row r="34" spans="1:25" x14ac:dyDescent="0.25">
      <c r="A34" s="582"/>
      <c r="B34" s="58" t="str">
        <f ca="1">DFIE!$B$57</f>
        <v>Jura</v>
      </c>
      <c r="C34" s="53">
        <v>66331.032999999996</v>
      </c>
      <c r="D34" s="53">
        <v>15234.334999999999</v>
      </c>
      <c r="E34" s="53">
        <v>0</v>
      </c>
      <c r="F34" s="53">
        <v>800.24300000000005</v>
      </c>
      <c r="G34" s="53">
        <v>0</v>
      </c>
      <c r="H34" s="53">
        <v>587997.26800000004</v>
      </c>
      <c r="I34" s="53">
        <v>0</v>
      </c>
      <c r="J34" s="47">
        <f t="shared" si="0"/>
        <v>670362.87900000007</v>
      </c>
      <c r="K34" s="41"/>
      <c r="L34" s="41"/>
      <c r="M34" s="41"/>
      <c r="N34" s="41"/>
      <c r="O34" s="41"/>
      <c r="P34" s="58" t="str">
        <f ca="1">DFIE!$B$57</f>
        <v>Jura</v>
      </c>
      <c r="Q34" s="95">
        <f t="shared" si="1"/>
        <v>26001.764936</v>
      </c>
      <c r="R34" s="95">
        <f t="shared" si="2"/>
        <v>4478.8944899999997</v>
      </c>
      <c r="S34" s="95">
        <f t="shared" si="3"/>
        <v>0</v>
      </c>
      <c r="T34" s="95">
        <f t="shared" si="4"/>
        <v>105.91451470588234</v>
      </c>
      <c r="U34" s="95">
        <f t="shared" si="5"/>
        <v>0</v>
      </c>
      <c r="V34" s="95">
        <f t="shared" si="6"/>
        <v>77823.167823529409</v>
      </c>
      <c r="W34" s="95">
        <f t="shared" si="7"/>
        <v>0</v>
      </c>
      <c r="X34" s="47">
        <f t="shared" si="8"/>
        <v>108409.74176423528</v>
      </c>
      <c r="Y34" s="582"/>
    </row>
    <row r="35" spans="1:25" x14ac:dyDescent="0.25">
      <c r="A35" s="582"/>
      <c r="B35" s="59" t="str">
        <f ca="1">DFIE!$B$58</f>
        <v>Schweiz</v>
      </c>
      <c r="C35" s="55">
        <f t="shared" ref="C35:I35" si="9">SUM(C9:C34)</f>
        <v>22016138.726999998</v>
      </c>
      <c r="D35" s="55">
        <f t="shared" si="9"/>
        <v>3920600.0210000006</v>
      </c>
      <c r="E35" s="55">
        <f t="shared" si="9"/>
        <v>632635.23900000006</v>
      </c>
      <c r="F35" s="55">
        <f t="shared" si="9"/>
        <v>5037099.4719999991</v>
      </c>
      <c r="G35" s="55">
        <f t="shared" si="9"/>
        <v>9324279.4079999998</v>
      </c>
      <c r="H35" s="55">
        <f t="shared" si="9"/>
        <v>7589110.2489999998</v>
      </c>
      <c r="I35" s="55">
        <f t="shared" si="9"/>
        <v>3573352.4809999997</v>
      </c>
      <c r="J35" s="49">
        <f t="shared" si="0"/>
        <v>52093215.596999995</v>
      </c>
      <c r="K35" s="41"/>
      <c r="L35" s="41"/>
      <c r="M35" s="41"/>
      <c r="N35" s="41"/>
      <c r="O35" s="41"/>
      <c r="P35" s="59" t="str">
        <f ca="1">DFIE!$B$58</f>
        <v>Schweiz</v>
      </c>
      <c r="Q35" s="55">
        <f>SUM(Q9:Q34)</f>
        <v>8630326.3809840009</v>
      </c>
      <c r="R35" s="55">
        <f t="shared" ref="R35:W35" si="10">SUM(R9:R34)</f>
        <v>1152656.4061740001</v>
      </c>
      <c r="S35" s="55">
        <f t="shared" si="10"/>
        <v>162745.41523275001</v>
      </c>
      <c r="T35" s="55">
        <f t="shared" si="10"/>
        <v>666674.93011764705</v>
      </c>
      <c r="U35" s="55">
        <f t="shared" si="10"/>
        <v>1781485.8539519999</v>
      </c>
      <c r="V35" s="55">
        <f t="shared" si="10"/>
        <v>1004441.0623676471</v>
      </c>
      <c r="W35" s="55">
        <f t="shared" si="10"/>
        <v>630339.37764840003</v>
      </c>
      <c r="X35" s="49">
        <f>SUM(X9:X34)</f>
        <v>14028669.426476443</v>
      </c>
      <c r="Y35" s="582"/>
    </row>
    <row r="36" spans="1:25" ht="14.25" customHeight="1" x14ac:dyDescent="0.25">
      <c r="A36" s="66"/>
      <c r="B36" s="77"/>
      <c r="C36" s="77"/>
      <c r="D36" s="77"/>
      <c r="E36" s="77"/>
      <c r="F36" s="77"/>
      <c r="G36" s="77"/>
      <c r="H36" s="77"/>
      <c r="I36" s="77"/>
      <c r="J36" s="77"/>
      <c r="P36" s="91"/>
      <c r="Q36" s="92"/>
      <c r="R36" s="92"/>
      <c r="S36" s="92"/>
      <c r="T36" s="92"/>
      <c r="U36" s="92"/>
      <c r="V36" s="92"/>
      <c r="W36" s="92"/>
      <c r="X36" s="92"/>
    </row>
    <row r="37" spans="1:25" x14ac:dyDescent="0.25">
      <c r="A37" s="583" t="str">
        <f ca="1">DFIE!$B$74</f>
        <v>Bemessungsjahr 2021</v>
      </c>
      <c r="B37" s="60" t="str">
        <f ca="1">DFIE!$B$32</f>
        <v>Zürich</v>
      </c>
      <c r="C37" s="51">
        <v>4466115.5820000004</v>
      </c>
      <c r="D37" s="51">
        <v>140040.24100000001</v>
      </c>
      <c r="E37" s="51">
        <v>27785.478999999999</v>
      </c>
      <c r="F37" s="51">
        <v>657456.86399999994</v>
      </c>
      <c r="G37" s="51">
        <v>0</v>
      </c>
      <c r="H37" s="51">
        <v>0</v>
      </c>
      <c r="I37" s="51">
        <v>0</v>
      </c>
      <c r="J37" s="52">
        <f t="shared" ref="J37:J63" si="11">SUM(C37:I37)</f>
        <v>5291398.1660000011</v>
      </c>
      <c r="K37" s="99"/>
      <c r="L37" s="43"/>
      <c r="M37" s="43"/>
      <c r="N37" s="43"/>
      <c r="O37" s="99"/>
      <c r="P37" s="60" t="str">
        <f ca="1">DFIE!$B$32</f>
        <v>Zürich</v>
      </c>
      <c r="Q37" s="93">
        <f>C37*$N$44</f>
        <v>1777514.0016360004</v>
      </c>
      <c r="R37" s="94">
        <f>D37*$N$45*$N$39</f>
        <v>41802.0119385</v>
      </c>
      <c r="S37" s="94">
        <f>E37*$N$46*$N$39</f>
        <v>7257.2197963125</v>
      </c>
      <c r="T37" s="94">
        <f>F37*$N$47*$N$39</f>
        <v>82182.107999999993</v>
      </c>
      <c r="U37" s="94">
        <f>G37*$N$48*$N$39</f>
        <v>0</v>
      </c>
      <c r="V37" s="94">
        <f>H37*$N$49*$N$39</f>
        <v>0</v>
      </c>
      <c r="W37" s="94">
        <f>I37*$N$50*$N$39</f>
        <v>0</v>
      </c>
      <c r="X37" s="52">
        <f>SUM(Q37:W37)</f>
        <v>1908755.3413708129</v>
      </c>
      <c r="Y37" s="583" t="str">
        <f ca="1">DFIE!$B$74</f>
        <v>Bemessungsjahr 2021</v>
      </c>
    </row>
    <row r="38" spans="1:25" x14ac:dyDescent="0.25">
      <c r="A38" s="583"/>
      <c r="B38" s="58" t="str">
        <f ca="1">DFIE!$B$33</f>
        <v>Bern</v>
      </c>
      <c r="C38" s="53">
        <v>1515145.3259999999</v>
      </c>
      <c r="D38" s="53">
        <v>191791.826</v>
      </c>
      <c r="E38" s="53">
        <v>285.23700000000002</v>
      </c>
      <c r="F38" s="53">
        <v>23051.225999999999</v>
      </c>
      <c r="G38" s="53">
        <v>0</v>
      </c>
      <c r="H38" s="53">
        <v>210052.61199999999</v>
      </c>
      <c r="I38" s="53">
        <v>0</v>
      </c>
      <c r="J38" s="47">
        <f t="shared" si="11"/>
        <v>1940326.2269999997</v>
      </c>
      <c r="K38" s="99"/>
      <c r="L38" s="79" t="str">
        <f ca="1">DFIE!$B$102</f>
        <v>Standardisierter Steuersatz SST(2024)</v>
      </c>
      <c r="M38" s="78"/>
      <c r="N38" s="86">
        <v>0.27</v>
      </c>
      <c r="O38" s="99"/>
      <c r="P38" s="58" t="str">
        <f ca="1">DFIE!$B$33</f>
        <v>Bern</v>
      </c>
      <c r="Q38" s="95">
        <f t="shared" ref="Q38:Q62" si="12">C38*$N$44</f>
        <v>603027.83974800003</v>
      </c>
      <c r="R38" s="95">
        <f t="shared" ref="R38:R62" si="13">D38*$N$45*$N$39</f>
        <v>57249.860060999999</v>
      </c>
      <c r="S38" s="95">
        <f t="shared" ref="S38:S62" si="14">E38*$N$46*$N$39</f>
        <v>74.500338937500004</v>
      </c>
      <c r="T38" s="95">
        <f t="shared" ref="T38:T62" si="15">F38*$N$47*$N$39</f>
        <v>2881.4032499999998</v>
      </c>
      <c r="U38" s="95">
        <f t="shared" ref="U38:U62" si="16">G38*$N$48*$N$39</f>
        <v>0</v>
      </c>
      <c r="V38" s="95">
        <f t="shared" ref="V38:V62" si="17">H38*$N$49*$N$39</f>
        <v>26256.576499999996</v>
      </c>
      <c r="W38" s="95">
        <f t="shared" ref="W38:W62" si="18">I38*$N$50*$N$39</f>
        <v>0</v>
      </c>
      <c r="X38" s="47">
        <f t="shared" ref="X38:X62" si="19">SUM(Q38:W38)</f>
        <v>689490.17989793746</v>
      </c>
      <c r="Y38" s="583"/>
    </row>
    <row r="39" spans="1:25" x14ac:dyDescent="0.25">
      <c r="A39" s="583"/>
      <c r="B39" s="57" t="str">
        <f ca="1">DFIE!$B$34</f>
        <v>Luzern</v>
      </c>
      <c r="C39" s="54">
        <v>702192.21</v>
      </c>
      <c r="D39" s="54">
        <v>103308.91800000001</v>
      </c>
      <c r="E39" s="54">
        <v>1303.6959999999999</v>
      </c>
      <c r="F39" s="54">
        <v>11079.907999999999</v>
      </c>
      <c r="G39" s="54">
        <v>0</v>
      </c>
      <c r="H39" s="54">
        <v>0</v>
      </c>
      <c r="I39" s="54">
        <v>0</v>
      </c>
      <c r="J39" s="48">
        <f t="shared" si="11"/>
        <v>817884.73200000008</v>
      </c>
      <c r="K39" s="99"/>
      <c r="L39" s="79" t="str">
        <f ca="1">DFIE!$B$105</f>
        <v>Faktor Delta 2021</v>
      </c>
      <c r="M39" s="79"/>
      <c r="N39" s="86">
        <v>0.75</v>
      </c>
      <c r="O39" s="99"/>
      <c r="P39" s="57" t="str">
        <f ca="1">DFIE!$B$34</f>
        <v>Luzern</v>
      </c>
      <c r="Q39" s="96">
        <f t="shared" si="12"/>
        <v>279472.49958</v>
      </c>
      <c r="R39" s="96">
        <f t="shared" si="13"/>
        <v>30837.712023000007</v>
      </c>
      <c r="S39" s="96">
        <f t="shared" si="14"/>
        <v>340.50909899999999</v>
      </c>
      <c r="T39" s="96">
        <f t="shared" si="15"/>
        <v>1384.9884999999999</v>
      </c>
      <c r="U39" s="96">
        <f t="shared" si="16"/>
        <v>0</v>
      </c>
      <c r="V39" s="96">
        <f t="shared" si="17"/>
        <v>0</v>
      </c>
      <c r="W39" s="96">
        <f t="shared" si="18"/>
        <v>0</v>
      </c>
      <c r="X39" s="48">
        <f t="shared" si="19"/>
        <v>312035.709202</v>
      </c>
      <c r="Y39" s="583"/>
    </row>
    <row r="40" spans="1:25" x14ac:dyDescent="0.25">
      <c r="A40" s="583"/>
      <c r="B40" s="58" t="str">
        <f ca="1">DFIE!$B$35</f>
        <v>Uri</v>
      </c>
      <c r="C40" s="53">
        <v>81683.08</v>
      </c>
      <c r="D40" s="53">
        <v>1609.903</v>
      </c>
      <c r="E40" s="53">
        <v>0</v>
      </c>
      <c r="F40" s="53">
        <v>230.34700000000001</v>
      </c>
      <c r="G40" s="53">
        <v>0</v>
      </c>
      <c r="H40" s="53">
        <v>0</v>
      </c>
      <c r="I40" s="53">
        <v>0</v>
      </c>
      <c r="J40" s="47">
        <f t="shared" si="11"/>
        <v>83523.33</v>
      </c>
      <c r="K40" s="99"/>
      <c r="L40" s="43"/>
      <c r="M40" s="43"/>
      <c r="N40" s="43"/>
      <c r="O40" s="99"/>
      <c r="P40" s="58" t="str">
        <f ca="1">DFIE!$B$35</f>
        <v>Uri</v>
      </c>
      <c r="Q40" s="95">
        <f t="shared" si="12"/>
        <v>32509.865840000002</v>
      </c>
      <c r="R40" s="95">
        <f t="shared" si="13"/>
        <v>480.55604549999998</v>
      </c>
      <c r="S40" s="95">
        <f t="shared" si="14"/>
        <v>0</v>
      </c>
      <c r="T40" s="95">
        <f t="shared" si="15"/>
        <v>28.793374999999997</v>
      </c>
      <c r="U40" s="95">
        <f t="shared" si="16"/>
        <v>0</v>
      </c>
      <c r="V40" s="95">
        <f t="shared" si="17"/>
        <v>0</v>
      </c>
      <c r="W40" s="95">
        <f t="shared" si="18"/>
        <v>0</v>
      </c>
      <c r="X40" s="47">
        <f t="shared" si="19"/>
        <v>33019.215260500001</v>
      </c>
      <c r="Y40" s="583"/>
    </row>
    <row r="41" spans="1:25" x14ac:dyDescent="0.25">
      <c r="A41" s="583"/>
      <c r="B41" s="57" t="str">
        <f ca="1">DFIE!$B$36</f>
        <v>Schwyz</v>
      </c>
      <c r="C41" s="54">
        <v>312555.08500000002</v>
      </c>
      <c r="D41" s="54">
        <v>112302.523</v>
      </c>
      <c r="E41" s="54">
        <v>4107.8310000000001</v>
      </c>
      <c r="F41" s="54">
        <v>5205.8999999999996</v>
      </c>
      <c r="G41" s="54">
        <v>0</v>
      </c>
      <c r="H41" s="54">
        <v>0</v>
      </c>
      <c r="I41" s="54">
        <v>0</v>
      </c>
      <c r="J41" s="48">
        <f t="shared" si="11"/>
        <v>434171.33900000004</v>
      </c>
      <c r="K41" s="99"/>
      <c r="L41" s="78" t="str">
        <f ca="1">DFIE!$B$108</f>
        <v>Faktor Gamma 2021 (γ)</v>
      </c>
      <c r="M41" s="78"/>
      <c r="N41" s="86">
        <v>0.39800000000000002</v>
      </c>
      <c r="O41" s="99"/>
      <c r="P41" s="57" t="str">
        <f ca="1">DFIE!$B$36</f>
        <v>Schwyz</v>
      </c>
      <c r="Q41" s="96">
        <f t="shared" si="12"/>
        <v>124396.92383000001</v>
      </c>
      <c r="R41" s="96">
        <f t="shared" si="13"/>
        <v>33522.303115500006</v>
      </c>
      <c r="S41" s="96">
        <f t="shared" si="14"/>
        <v>1072.9141093125002</v>
      </c>
      <c r="T41" s="96">
        <f t="shared" si="15"/>
        <v>650.73749999999995</v>
      </c>
      <c r="U41" s="96">
        <f t="shared" si="16"/>
        <v>0</v>
      </c>
      <c r="V41" s="96">
        <f t="shared" si="17"/>
        <v>0</v>
      </c>
      <c r="W41" s="96">
        <f t="shared" si="18"/>
        <v>0</v>
      </c>
      <c r="X41" s="48">
        <f t="shared" si="19"/>
        <v>159642.87855481249</v>
      </c>
      <c r="Y41" s="583"/>
    </row>
    <row r="42" spans="1:25" x14ac:dyDescent="0.25">
      <c r="A42" s="583"/>
      <c r="B42" s="58" t="str">
        <f ca="1">DFIE!$B$37</f>
        <v>Obwalden</v>
      </c>
      <c r="C42" s="53">
        <v>83659.006999999998</v>
      </c>
      <c r="D42" s="53">
        <v>13270.938</v>
      </c>
      <c r="E42" s="53">
        <v>314.42599999999999</v>
      </c>
      <c r="F42" s="53">
        <v>623.33600000000001</v>
      </c>
      <c r="G42" s="53">
        <v>0</v>
      </c>
      <c r="H42" s="53">
        <v>0</v>
      </c>
      <c r="I42" s="53">
        <v>0</v>
      </c>
      <c r="J42" s="47">
        <f t="shared" si="11"/>
        <v>97867.706999999995</v>
      </c>
      <c r="K42" s="99"/>
      <c r="L42" s="43"/>
      <c r="M42" s="43"/>
      <c r="N42" s="43"/>
      <c r="O42" s="99"/>
      <c r="P42" s="58" t="str">
        <f ca="1">DFIE!$B$37</f>
        <v>Obwalden</v>
      </c>
      <c r="Q42" s="95">
        <f t="shared" si="12"/>
        <v>33296.284786000004</v>
      </c>
      <c r="R42" s="95">
        <f t="shared" si="13"/>
        <v>3961.3749930000004</v>
      </c>
      <c r="S42" s="95">
        <f t="shared" si="14"/>
        <v>82.124140874999995</v>
      </c>
      <c r="T42" s="95">
        <f t="shared" si="15"/>
        <v>77.917000000000002</v>
      </c>
      <c r="U42" s="95">
        <f t="shared" si="16"/>
        <v>0</v>
      </c>
      <c r="V42" s="95">
        <f t="shared" si="17"/>
        <v>0</v>
      </c>
      <c r="W42" s="95">
        <f t="shared" si="18"/>
        <v>0</v>
      </c>
      <c r="X42" s="47">
        <f t="shared" si="19"/>
        <v>37417.700919875002</v>
      </c>
      <c r="Y42" s="583"/>
    </row>
    <row r="43" spans="1:25" x14ac:dyDescent="0.25">
      <c r="A43" s="583"/>
      <c r="B43" s="57" t="str">
        <f ca="1">DFIE!$B$38</f>
        <v>Nidwalden</v>
      </c>
      <c r="C43" s="54">
        <v>95583.959000000003</v>
      </c>
      <c r="D43" s="54">
        <v>9148.6610000000001</v>
      </c>
      <c r="E43" s="54">
        <v>4022.232</v>
      </c>
      <c r="F43" s="54">
        <v>511.12700000000001</v>
      </c>
      <c r="G43" s="54">
        <v>0</v>
      </c>
      <c r="H43" s="54">
        <v>0</v>
      </c>
      <c r="I43" s="54">
        <v>0</v>
      </c>
      <c r="J43" s="48">
        <f t="shared" si="11"/>
        <v>109265.97899999999</v>
      </c>
      <c r="K43" s="99"/>
      <c r="L43" s="78" t="str">
        <f ca="1">DFIE!$B$61</f>
        <v>Kategorie</v>
      </c>
      <c r="M43" s="78" t="str">
        <f ca="1">DFIE!$B$114</f>
        <v>Formel für Gewicht</v>
      </c>
      <c r="N43" s="88" t="str">
        <f ca="1">DFIE!$B$115</f>
        <v>Gewicht (ω)</v>
      </c>
      <c r="O43" s="99"/>
      <c r="P43" s="57" t="str">
        <f ca="1">DFIE!$B$38</f>
        <v>Nidwalden</v>
      </c>
      <c r="Q43" s="96">
        <f t="shared" si="12"/>
        <v>38042.415682000006</v>
      </c>
      <c r="R43" s="96">
        <f t="shared" si="13"/>
        <v>2730.8753085000003</v>
      </c>
      <c r="S43" s="96">
        <f t="shared" si="14"/>
        <v>1050.5567205</v>
      </c>
      <c r="T43" s="96">
        <f t="shared" si="15"/>
        <v>63.890874999999994</v>
      </c>
      <c r="U43" s="96">
        <f t="shared" si="16"/>
        <v>0</v>
      </c>
      <c r="V43" s="96">
        <f t="shared" si="17"/>
        <v>0</v>
      </c>
      <c r="W43" s="96">
        <f t="shared" si="18"/>
        <v>0</v>
      </c>
      <c r="X43" s="48">
        <f t="shared" si="19"/>
        <v>41887.738585999999</v>
      </c>
      <c r="Y43" s="583"/>
    </row>
    <row r="44" spans="1:25" x14ac:dyDescent="0.25">
      <c r="A44" s="583"/>
      <c r="B44" s="58" t="str">
        <f ca="1">DFIE!$B$39</f>
        <v>Glarus</v>
      </c>
      <c r="C44" s="53">
        <v>127962.63</v>
      </c>
      <c r="D44" s="53">
        <v>561.31899999999996</v>
      </c>
      <c r="E44" s="53">
        <v>1048.9000000000001</v>
      </c>
      <c r="F44" s="53">
        <v>0</v>
      </c>
      <c r="G44" s="53">
        <v>0</v>
      </c>
      <c r="H44" s="53">
        <v>0</v>
      </c>
      <c r="I44" s="53">
        <v>0</v>
      </c>
      <c r="J44" s="47">
        <f t="shared" si="11"/>
        <v>129572.849</v>
      </c>
      <c r="K44" s="99"/>
      <c r="L44" s="83">
        <v>0</v>
      </c>
      <c r="M44" s="83" t="s">
        <v>64</v>
      </c>
      <c r="N44" s="87">
        <f>N41</f>
        <v>0.39800000000000002</v>
      </c>
      <c r="O44" s="99"/>
      <c r="P44" s="58" t="str">
        <f ca="1">DFIE!$B$39</f>
        <v>Glarus</v>
      </c>
      <c r="Q44" s="95">
        <f t="shared" si="12"/>
        <v>50929.126740000007</v>
      </c>
      <c r="R44" s="95">
        <f t="shared" si="13"/>
        <v>167.55372149999999</v>
      </c>
      <c r="S44" s="95">
        <f t="shared" si="14"/>
        <v>273.95956875000002</v>
      </c>
      <c r="T44" s="95">
        <f t="shared" si="15"/>
        <v>0</v>
      </c>
      <c r="U44" s="95">
        <f t="shared" si="16"/>
        <v>0</v>
      </c>
      <c r="V44" s="95">
        <f t="shared" si="17"/>
        <v>0</v>
      </c>
      <c r="W44" s="95">
        <f t="shared" si="18"/>
        <v>0</v>
      </c>
      <c r="X44" s="47">
        <f t="shared" si="19"/>
        <v>51370.640030250004</v>
      </c>
      <c r="Y44" s="583"/>
    </row>
    <row r="45" spans="1:25" x14ac:dyDescent="0.25">
      <c r="A45" s="583"/>
      <c r="B45" s="57" t="str">
        <f ca="1">DFIE!$B$40</f>
        <v>Zug</v>
      </c>
      <c r="C45" s="54">
        <v>506845.57299999997</v>
      </c>
      <c r="D45" s="54">
        <v>270546.45299999998</v>
      </c>
      <c r="E45" s="54">
        <v>5424.8459999999995</v>
      </c>
      <c r="F45" s="54">
        <v>22600.203000000001</v>
      </c>
      <c r="G45" s="54">
        <v>0</v>
      </c>
      <c r="H45" s="54">
        <v>0</v>
      </c>
      <c r="I45" s="54">
        <v>0</v>
      </c>
      <c r="J45" s="48">
        <f t="shared" si="11"/>
        <v>805417.07499999995</v>
      </c>
      <c r="K45" s="99"/>
      <c r="L45" s="83">
        <v>1</v>
      </c>
      <c r="M45" s="83" t="s">
        <v>64</v>
      </c>
      <c r="N45" s="87">
        <f>N41</f>
        <v>0.39800000000000002</v>
      </c>
      <c r="O45" s="99"/>
      <c r="P45" s="57" t="str">
        <f ca="1">DFIE!$B$40</f>
        <v>Zug</v>
      </c>
      <c r="Q45" s="96">
        <f t="shared" si="12"/>
        <v>201724.538054</v>
      </c>
      <c r="R45" s="96">
        <f t="shared" si="13"/>
        <v>80758.1162205</v>
      </c>
      <c r="S45" s="96">
        <f t="shared" si="14"/>
        <v>1416.9019646249999</v>
      </c>
      <c r="T45" s="96">
        <f t="shared" si="15"/>
        <v>2825.0253750000002</v>
      </c>
      <c r="U45" s="96">
        <f t="shared" si="16"/>
        <v>0</v>
      </c>
      <c r="V45" s="96">
        <f t="shared" si="17"/>
        <v>0</v>
      </c>
      <c r="W45" s="96">
        <f t="shared" si="18"/>
        <v>0</v>
      </c>
      <c r="X45" s="48">
        <f t="shared" si="19"/>
        <v>286724.581614125</v>
      </c>
      <c r="Y45" s="583"/>
    </row>
    <row r="46" spans="1:25" x14ac:dyDescent="0.25">
      <c r="A46" s="583"/>
      <c r="B46" s="58" t="str">
        <f ca="1">DFIE!$B$41</f>
        <v>Freiburg</v>
      </c>
      <c r="C46" s="53">
        <v>535463.80900000001</v>
      </c>
      <c r="D46" s="53">
        <v>131149.19399999999</v>
      </c>
      <c r="E46" s="53">
        <v>464.11599999999999</v>
      </c>
      <c r="F46" s="53">
        <v>1366.2270000000001</v>
      </c>
      <c r="G46" s="53">
        <v>0</v>
      </c>
      <c r="H46" s="53">
        <v>0</v>
      </c>
      <c r="I46" s="53">
        <v>0</v>
      </c>
      <c r="J46" s="47">
        <f t="shared" si="11"/>
        <v>668443.34600000002</v>
      </c>
      <c r="K46" s="99"/>
      <c r="L46" s="83" t="s">
        <v>53</v>
      </c>
      <c r="M46" s="83" t="s">
        <v>80</v>
      </c>
      <c r="N46" s="87">
        <f>0.875*N41</f>
        <v>0.34825</v>
      </c>
      <c r="O46" s="99"/>
      <c r="P46" s="58" t="str">
        <f ca="1">DFIE!$B$41</f>
        <v>Freiburg</v>
      </c>
      <c r="Q46" s="95">
        <f t="shared" si="12"/>
        <v>213114.59598200003</v>
      </c>
      <c r="R46" s="95">
        <f t="shared" si="13"/>
        <v>39148.034409</v>
      </c>
      <c r="S46" s="95">
        <f t="shared" si="14"/>
        <v>121.22129775000001</v>
      </c>
      <c r="T46" s="95">
        <f t="shared" si="15"/>
        <v>170.77837499999998</v>
      </c>
      <c r="U46" s="95">
        <f t="shared" si="16"/>
        <v>0</v>
      </c>
      <c r="V46" s="95">
        <f t="shared" si="17"/>
        <v>0</v>
      </c>
      <c r="W46" s="95">
        <f t="shared" si="18"/>
        <v>0</v>
      </c>
      <c r="X46" s="47">
        <f t="shared" si="19"/>
        <v>252554.63006375</v>
      </c>
      <c r="Y46" s="583"/>
    </row>
    <row r="47" spans="1:25" x14ac:dyDescent="0.25">
      <c r="A47" s="583"/>
      <c r="B47" s="57" t="str">
        <f ca="1">DFIE!$B$42</f>
        <v>Solothurn</v>
      </c>
      <c r="C47" s="54">
        <v>468335.55800000002</v>
      </c>
      <c r="D47" s="54">
        <v>37203.896999999997</v>
      </c>
      <c r="E47" s="54">
        <v>1692.248</v>
      </c>
      <c r="F47" s="54">
        <v>56790.025999999998</v>
      </c>
      <c r="G47" s="54">
        <v>0</v>
      </c>
      <c r="H47" s="54">
        <v>105999.567</v>
      </c>
      <c r="I47" s="54">
        <v>0</v>
      </c>
      <c r="J47" s="48">
        <f t="shared" si="11"/>
        <v>670021.29600000009</v>
      </c>
      <c r="K47" s="99"/>
      <c r="L47" s="83" t="s">
        <v>54</v>
      </c>
      <c r="M47" s="83" t="str">
        <f ca="1">DFIE!$B$118</f>
        <v>0.045 / SST(2024)</v>
      </c>
      <c r="N47" s="87">
        <f>0.045/$N$38</f>
        <v>0.16666666666666666</v>
      </c>
      <c r="O47" s="99"/>
      <c r="P47" s="57" t="str">
        <f ca="1">DFIE!$B$42</f>
        <v>Solothurn</v>
      </c>
      <c r="Q47" s="96">
        <f t="shared" si="12"/>
        <v>186397.55208400002</v>
      </c>
      <c r="R47" s="96">
        <f t="shared" si="13"/>
        <v>11105.3632545</v>
      </c>
      <c r="S47" s="96">
        <f t="shared" si="14"/>
        <v>441.99402450000002</v>
      </c>
      <c r="T47" s="96">
        <f t="shared" si="15"/>
        <v>7098.7532499999998</v>
      </c>
      <c r="U47" s="96">
        <f t="shared" si="16"/>
        <v>0</v>
      </c>
      <c r="V47" s="96">
        <f t="shared" si="17"/>
        <v>13249.945874999999</v>
      </c>
      <c r="W47" s="96">
        <f t="shared" si="18"/>
        <v>0</v>
      </c>
      <c r="X47" s="48">
        <f t="shared" si="19"/>
        <v>218293.60848800003</v>
      </c>
      <c r="Y47" s="583"/>
    </row>
    <row r="48" spans="1:25" x14ac:dyDescent="0.25">
      <c r="A48" s="583"/>
      <c r="B48" s="58" t="str">
        <f ca="1">DFIE!$B$43</f>
        <v>Basel-Stadt</v>
      </c>
      <c r="C48" s="53">
        <v>682219.23800000001</v>
      </c>
      <c r="D48" s="53">
        <v>432692.42700000003</v>
      </c>
      <c r="E48" s="53">
        <v>2028.191</v>
      </c>
      <c r="F48" s="53">
        <v>1565593.1089999999</v>
      </c>
      <c r="G48" s="53">
        <v>0</v>
      </c>
      <c r="H48" s="53">
        <v>1652212.1040000001</v>
      </c>
      <c r="I48" s="53">
        <v>0</v>
      </c>
      <c r="J48" s="47">
        <f t="shared" si="11"/>
        <v>4334745.0690000001</v>
      </c>
      <c r="K48" s="99"/>
      <c r="L48" s="83" t="s">
        <v>55</v>
      </c>
      <c r="M48" s="83" t="str">
        <f ca="1">DFIE!$B$119</f>
        <v>γ - 0.035 / SST(2024)</v>
      </c>
      <c r="N48" s="87">
        <f>N41-0.035/$N$38</f>
        <v>0.26837037037037037</v>
      </c>
      <c r="O48" s="99"/>
      <c r="P48" s="58" t="str">
        <f ca="1">DFIE!$B$43</f>
        <v>Basel-Stadt</v>
      </c>
      <c r="Q48" s="95">
        <f t="shared" si="12"/>
        <v>271523.25672400004</v>
      </c>
      <c r="R48" s="95">
        <f t="shared" si="13"/>
        <v>129158.6894595</v>
      </c>
      <c r="S48" s="95">
        <f t="shared" si="14"/>
        <v>529.73813681249999</v>
      </c>
      <c r="T48" s="95">
        <f t="shared" si="15"/>
        <v>195699.13862499996</v>
      </c>
      <c r="U48" s="95">
        <f t="shared" si="16"/>
        <v>0</v>
      </c>
      <c r="V48" s="95">
        <f t="shared" si="17"/>
        <v>206526.51300000001</v>
      </c>
      <c r="W48" s="95">
        <f t="shared" si="18"/>
        <v>0</v>
      </c>
      <c r="X48" s="47">
        <f t="shared" si="19"/>
        <v>803437.33594531263</v>
      </c>
      <c r="Y48" s="583"/>
    </row>
    <row r="49" spans="1:25" x14ac:dyDescent="0.25">
      <c r="A49" s="583"/>
      <c r="B49" s="57" t="str">
        <f ca="1">DFIE!$B$44</f>
        <v>Basel-Landschaft</v>
      </c>
      <c r="C49" s="54">
        <v>359538.25199999998</v>
      </c>
      <c r="D49" s="54">
        <v>103698.58500000001</v>
      </c>
      <c r="E49" s="54">
        <v>1431.28</v>
      </c>
      <c r="F49" s="54">
        <v>831352.09499999997</v>
      </c>
      <c r="G49" s="54">
        <v>0</v>
      </c>
      <c r="H49" s="54">
        <v>1049812.8370000001</v>
      </c>
      <c r="I49" s="54">
        <v>0</v>
      </c>
      <c r="J49" s="48">
        <f t="shared" si="11"/>
        <v>2345833.0490000001</v>
      </c>
      <c r="K49" s="99"/>
      <c r="L49" s="83" t="s">
        <v>56</v>
      </c>
      <c r="M49" s="83" t="str">
        <f ca="1">DFIE!$B$118</f>
        <v>0.045 / SST(2024)</v>
      </c>
      <c r="N49" s="87">
        <f>0.045/$N$38</f>
        <v>0.16666666666666666</v>
      </c>
      <c r="O49" s="99"/>
      <c r="P49" s="57" t="str">
        <f ca="1">DFIE!$B$44</f>
        <v>Basel-Landschaft</v>
      </c>
      <c r="Q49" s="96">
        <f t="shared" si="12"/>
        <v>143096.224296</v>
      </c>
      <c r="R49" s="96">
        <f t="shared" si="13"/>
        <v>30954.027622500005</v>
      </c>
      <c r="S49" s="96">
        <f t="shared" si="14"/>
        <v>373.83244500000001</v>
      </c>
      <c r="T49" s="96">
        <f t="shared" si="15"/>
        <v>103919.011875</v>
      </c>
      <c r="U49" s="96">
        <f t="shared" si="16"/>
        <v>0</v>
      </c>
      <c r="V49" s="96">
        <f t="shared" si="17"/>
        <v>131226.60462500001</v>
      </c>
      <c r="W49" s="96">
        <f t="shared" si="18"/>
        <v>0</v>
      </c>
      <c r="X49" s="48">
        <f t="shared" si="19"/>
        <v>409569.70086350001</v>
      </c>
      <c r="Y49" s="583"/>
    </row>
    <row r="50" spans="1:25" x14ac:dyDescent="0.25">
      <c r="A50" s="583"/>
      <c r="B50" s="58" t="str">
        <f ca="1">DFIE!$B$45</f>
        <v>Schaffhausen</v>
      </c>
      <c r="C50" s="53">
        <v>168788.03</v>
      </c>
      <c r="D50" s="53">
        <v>40632.923000000003</v>
      </c>
      <c r="E50" s="53">
        <v>1951.644</v>
      </c>
      <c r="F50" s="53">
        <v>419332.16800000001</v>
      </c>
      <c r="G50" s="53">
        <v>0</v>
      </c>
      <c r="H50" s="53">
        <v>0</v>
      </c>
      <c r="I50" s="53">
        <v>0</v>
      </c>
      <c r="J50" s="47">
        <f t="shared" si="11"/>
        <v>630704.76500000001</v>
      </c>
      <c r="K50" s="99"/>
      <c r="L50" s="83" t="s">
        <v>57</v>
      </c>
      <c r="M50" s="83" t="s">
        <v>81</v>
      </c>
      <c r="N50" s="87">
        <f>0.6*N41</f>
        <v>0.23880000000000001</v>
      </c>
      <c r="O50" s="99"/>
      <c r="P50" s="58" t="str">
        <f ca="1">DFIE!$B$45</f>
        <v>Schaffhausen</v>
      </c>
      <c r="Q50" s="95">
        <f t="shared" si="12"/>
        <v>67177.635940000007</v>
      </c>
      <c r="R50" s="95">
        <f t="shared" si="13"/>
        <v>12128.927515500001</v>
      </c>
      <c r="S50" s="95">
        <f t="shared" si="14"/>
        <v>509.74501725000005</v>
      </c>
      <c r="T50" s="95">
        <f t="shared" si="15"/>
        <v>52416.520999999993</v>
      </c>
      <c r="U50" s="95">
        <f t="shared" si="16"/>
        <v>0</v>
      </c>
      <c r="V50" s="95">
        <f t="shared" si="17"/>
        <v>0</v>
      </c>
      <c r="W50" s="95">
        <f t="shared" si="18"/>
        <v>0</v>
      </c>
      <c r="X50" s="47">
        <f t="shared" si="19"/>
        <v>132232.82947275002</v>
      </c>
      <c r="Y50" s="583"/>
    </row>
    <row r="51" spans="1:25" x14ac:dyDescent="0.25">
      <c r="A51" s="583"/>
      <c r="B51" s="57" t="str">
        <f ca="1">DFIE!$B$46</f>
        <v>Appenzell A.Rh.</v>
      </c>
      <c r="C51" s="54">
        <v>35623.472999999998</v>
      </c>
      <c r="D51" s="54">
        <v>27025.993999999999</v>
      </c>
      <c r="E51" s="54">
        <v>19234.705000000002</v>
      </c>
      <c r="F51" s="54">
        <v>5566.2719999999999</v>
      </c>
      <c r="G51" s="54">
        <v>0</v>
      </c>
      <c r="H51" s="54">
        <v>0</v>
      </c>
      <c r="I51" s="54">
        <v>0</v>
      </c>
      <c r="J51" s="48">
        <f t="shared" si="11"/>
        <v>87450.443999999989</v>
      </c>
      <c r="K51" s="99"/>
      <c r="L51" s="43"/>
      <c r="M51" s="43"/>
      <c r="N51" s="100"/>
      <c r="O51" s="99"/>
      <c r="P51" s="57" t="str">
        <f ca="1">DFIE!$B$46</f>
        <v>Appenzell A.Rh.</v>
      </c>
      <c r="Q51" s="96">
        <f t="shared" si="12"/>
        <v>14178.142254</v>
      </c>
      <c r="R51" s="96">
        <f t="shared" si="13"/>
        <v>8067.2592089999998</v>
      </c>
      <c r="S51" s="96">
        <f t="shared" si="14"/>
        <v>5023.8645121875006</v>
      </c>
      <c r="T51" s="96">
        <f t="shared" si="15"/>
        <v>695.78399999999999</v>
      </c>
      <c r="U51" s="96">
        <f t="shared" si="16"/>
        <v>0</v>
      </c>
      <c r="V51" s="96">
        <f t="shared" si="17"/>
        <v>0</v>
      </c>
      <c r="W51" s="96">
        <f t="shared" si="18"/>
        <v>0</v>
      </c>
      <c r="X51" s="48">
        <f t="shared" si="19"/>
        <v>27965.049975187503</v>
      </c>
      <c r="Y51" s="583"/>
    </row>
    <row r="52" spans="1:25" x14ac:dyDescent="0.25">
      <c r="A52" s="583"/>
      <c r="B52" s="58" t="str">
        <f ca="1">DFIE!$B$47</f>
        <v>Appenzell I.Rh.</v>
      </c>
      <c r="C52" s="53">
        <v>20384.294999999998</v>
      </c>
      <c r="D52" s="53">
        <v>1860.9580000000001</v>
      </c>
      <c r="E52" s="53">
        <v>4554.1109999999999</v>
      </c>
      <c r="F52" s="53">
        <v>978.42399999999998</v>
      </c>
      <c r="G52" s="53">
        <v>0</v>
      </c>
      <c r="H52" s="53">
        <v>0</v>
      </c>
      <c r="I52" s="53">
        <v>0</v>
      </c>
      <c r="J52" s="47">
        <f t="shared" si="11"/>
        <v>27777.787999999997</v>
      </c>
      <c r="K52" s="99"/>
      <c r="L52" s="43"/>
      <c r="M52" s="43"/>
      <c r="N52" s="43"/>
      <c r="O52" s="99"/>
      <c r="P52" s="58" t="str">
        <f ca="1">DFIE!$B$47</f>
        <v>Appenzell I.Rh.</v>
      </c>
      <c r="Q52" s="95">
        <f t="shared" si="12"/>
        <v>8112.9494100000002</v>
      </c>
      <c r="R52" s="95">
        <f t="shared" si="13"/>
        <v>555.49596300000007</v>
      </c>
      <c r="S52" s="95">
        <f t="shared" si="14"/>
        <v>1189.4768668125</v>
      </c>
      <c r="T52" s="95">
        <f t="shared" si="15"/>
        <v>122.303</v>
      </c>
      <c r="U52" s="95">
        <f t="shared" si="16"/>
        <v>0</v>
      </c>
      <c r="V52" s="95">
        <f t="shared" si="17"/>
        <v>0</v>
      </c>
      <c r="W52" s="95">
        <f t="shared" si="18"/>
        <v>0</v>
      </c>
      <c r="X52" s="47">
        <f t="shared" si="19"/>
        <v>9980.2252398125001</v>
      </c>
      <c r="Y52" s="583"/>
    </row>
    <row r="53" spans="1:25" x14ac:dyDescent="0.25">
      <c r="A53" s="583"/>
      <c r="B53" s="57" t="str">
        <f ca="1">DFIE!$B$48</f>
        <v>St. Gallen</v>
      </c>
      <c r="C53" s="54">
        <v>920278.88</v>
      </c>
      <c r="D53" s="54">
        <v>139051.234</v>
      </c>
      <c r="E53" s="54">
        <v>493396.2</v>
      </c>
      <c r="F53" s="54">
        <v>117206.01700000001</v>
      </c>
      <c r="G53" s="54">
        <v>0</v>
      </c>
      <c r="H53" s="54">
        <v>0</v>
      </c>
      <c r="I53" s="54">
        <v>0</v>
      </c>
      <c r="J53" s="48">
        <f t="shared" si="11"/>
        <v>1669932.331</v>
      </c>
      <c r="K53" s="99"/>
      <c r="L53" s="43"/>
      <c r="M53" s="43"/>
      <c r="N53" s="100"/>
      <c r="O53" s="99"/>
      <c r="P53" s="57" t="str">
        <f ca="1">DFIE!$B$48</f>
        <v>St. Gallen</v>
      </c>
      <c r="Q53" s="96">
        <f t="shared" si="12"/>
        <v>366270.99424000003</v>
      </c>
      <c r="R53" s="96">
        <f t="shared" si="13"/>
        <v>41506.793349</v>
      </c>
      <c r="S53" s="96">
        <f t="shared" si="14"/>
        <v>128868.9199875</v>
      </c>
      <c r="T53" s="96">
        <f t="shared" si="15"/>
        <v>14650.752125000001</v>
      </c>
      <c r="U53" s="96">
        <f t="shared" si="16"/>
        <v>0</v>
      </c>
      <c r="V53" s="96">
        <f t="shared" si="17"/>
        <v>0</v>
      </c>
      <c r="W53" s="96">
        <f t="shared" si="18"/>
        <v>0</v>
      </c>
      <c r="X53" s="48">
        <f t="shared" si="19"/>
        <v>551297.45970150002</v>
      </c>
      <c r="Y53" s="583"/>
    </row>
    <row r="54" spans="1:25" x14ac:dyDescent="0.25">
      <c r="A54" s="583"/>
      <c r="B54" s="58" t="str">
        <f ca="1">DFIE!$B$49</f>
        <v>Graubünden</v>
      </c>
      <c r="C54" s="53">
        <v>867619.924</v>
      </c>
      <c r="D54" s="53">
        <v>257673.34899999999</v>
      </c>
      <c r="E54" s="53">
        <v>26171.142</v>
      </c>
      <c r="F54" s="53">
        <v>1400.876</v>
      </c>
      <c r="G54" s="53">
        <v>0</v>
      </c>
      <c r="H54" s="53">
        <v>0</v>
      </c>
      <c r="I54" s="53">
        <v>145536.889</v>
      </c>
      <c r="J54" s="47">
        <f t="shared" si="11"/>
        <v>1298402.18</v>
      </c>
      <c r="K54" s="99"/>
      <c r="L54" s="43"/>
      <c r="M54" s="43"/>
      <c r="N54" s="43"/>
      <c r="O54" s="99"/>
      <c r="P54" s="58" t="str">
        <f ca="1">DFIE!$B$49</f>
        <v>Graubünden</v>
      </c>
      <c r="Q54" s="95">
        <f t="shared" si="12"/>
        <v>345312.72975200001</v>
      </c>
      <c r="R54" s="95">
        <f t="shared" si="13"/>
        <v>76915.494676500006</v>
      </c>
      <c r="S54" s="95">
        <f t="shared" si="14"/>
        <v>6835.575151125</v>
      </c>
      <c r="T54" s="95">
        <f t="shared" si="15"/>
        <v>175.1095</v>
      </c>
      <c r="U54" s="95">
        <f t="shared" si="16"/>
        <v>0</v>
      </c>
      <c r="V54" s="95">
        <f t="shared" si="17"/>
        <v>0</v>
      </c>
      <c r="W54" s="95">
        <f t="shared" si="18"/>
        <v>26065.656819899999</v>
      </c>
      <c r="X54" s="47">
        <f t="shared" si="19"/>
        <v>455304.56589952507</v>
      </c>
      <c r="Y54" s="583"/>
    </row>
    <row r="55" spans="1:25" x14ac:dyDescent="0.25">
      <c r="A55" s="583"/>
      <c r="B55" s="57" t="str">
        <f ca="1">DFIE!$B$50</f>
        <v>Aargau</v>
      </c>
      <c r="C55" s="54">
        <v>1432814.6429999999</v>
      </c>
      <c r="D55" s="54">
        <v>370382.21799999999</v>
      </c>
      <c r="E55" s="54">
        <v>6548.3670000000002</v>
      </c>
      <c r="F55" s="54">
        <v>1005875.6409999999</v>
      </c>
      <c r="G55" s="54">
        <v>0</v>
      </c>
      <c r="H55" s="54">
        <v>0</v>
      </c>
      <c r="I55" s="54">
        <v>0</v>
      </c>
      <c r="J55" s="48">
        <f t="shared" si="11"/>
        <v>2815620.8689999999</v>
      </c>
      <c r="K55" s="99"/>
      <c r="L55" s="43"/>
      <c r="M55" s="43"/>
      <c r="N55" s="100"/>
      <c r="O55" s="99"/>
      <c r="P55" s="57" t="str">
        <f ca="1">DFIE!$B$50</f>
        <v>Aargau</v>
      </c>
      <c r="Q55" s="96">
        <f t="shared" si="12"/>
        <v>570260.22791400005</v>
      </c>
      <c r="R55" s="96">
        <f t="shared" si="13"/>
        <v>110559.09207300001</v>
      </c>
      <c r="S55" s="96">
        <f t="shared" si="14"/>
        <v>1710.3516058125001</v>
      </c>
      <c r="T55" s="96">
        <f t="shared" si="15"/>
        <v>125734.45512499998</v>
      </c>
      <c r="U55" s="96">
        <f t="shared" si="16"/>
        <v>0</v>
      </c>
      <c r="V55" s="96">
        <f t="shared" si="17"/>
        <v>0</v>
      </c>
      <c r="W55" s="96">
        <f t="shared" si="18"/>
        <v>0</v>
      </c>
      <c r="X55" s="48">
        <f t="shared" si="19"/>
        <v>808264.12671781261</v>
      </c>
      <c r="Y55" s="583"/>
    </row>
    <row r="56" spans="1:25" x14ac:dyDescent="0.25">
      <c r="A56" s="583"/>
      <c r="B56" s="58" t="str">
        <f ca="1">DFIE!$B$51</f>
        <v>Thurgau</v>
      </c>
      <c r="C56" s="53">
        <v>675003.696</v>
      </c>
      <c r="D56" s="53">
        <v>97235.872000000003</v>
      </c>
      <c r="E56" s="53">
        <v>22724.843000000001</v>
      </c>
      <c r="F56" s="53">
        <v>342206.06099999999</v>
      </c>
      <c r="G56" s="53">
        <v>0</v>
      </c>
      <c r="H56" s="53">
        <v>0</v>
      </c>
      <c r="I56" s="53">
        <v>0</v>
      </c>
      <c r="J56" s="47">
        <f t="shared" si="11"/>
        <v>1137170.4720000001</v>
      </c>
      <c r="K56" s="99"/>
      <c r="L56" s="43"/>
      <c r="M56" s="43"/>
      <c r="N56" s="43"/>
      <c r="O56" s="99"/>
      <c r="P56" s="58" t="str">
        <f ca="1">DFIE!$B$51</f>
        <v>Thurgau</v>
      </c>
      <c r="Q56" s="95">
        <f t="shared" si="12"/>
        <v>268651.47100800002</v>
      </c>
      <c r="R56" s="95">
        <f t="shared" si="13"/>
        <v>29024.907792000005</v>
      </c>
      <c r="S56" s="95">
        <f t="shared" si="14"/>
        <v>5935.4449310625005</v>
      </c>
      <c r="T56" s="95">
        <f t="shared" si="15"/>
        <v>42775.757624999998</v>
      </c>
      <c r="U56" s="95">
        <f t="shared" si="16"/>
        <v>0</v>
      </c>
      <c r="V56" s="95">
        <f t="shared" si="17"/>
        <v>0</v>
      </c>
      <c r="W56" s="95">
        <f t="shared" si="18"/>
        <v>0</v>
      </c>
      <c r="X56" s="47">
        <f t="shared" si="19"/>
        <v>346387.58135606255</v>
      </c>
      <c r="Y56" s="583"/>
    </row>
    <row r="57" spans="1:25" x14ac:dyDescent="0.25">
      <c r="A57" s="583"/>
      <c r="B57" s="57" t="str">
        <f ca="1">DFIE!$B$52</f>
        <v>Tessin</v>
      </c>
      <c r="C57" s="54">
        <v>788459.13100000005</v>
      </c>
      <c r="D57" s="54">
        <v>543266.44700000004</v>
      </c>
      <c r="E57" s="54">
        <v>1218.8030000000001</v>
      </c>
      <c r="F57" s="54">
        <v>0</v>
      </c>
      <c r="G57" s="54">
        <v>0</v>
      </c>
      <c r="H57" s="54">
        <v>0</v>
      </c>
      <c r="I57" s="54">
        <v>3637643.983</v>
      </c>
      <c r="J57" s="48">
        <f t="shared" si="11"/>
        <v>4970588.3640000001</v>
      </c>
      <c r="K57" s="99"/>
      <c r="L57" s="43"/>
      <c r="M57" s="43"/>
      <c r="N57" s="100"/>
      <c r="O57" s="99"/>
      <c r="P57" s="57" t="str">
        <f ca="1">DFIE!$B$52</f>
        <v>Tessin</v>
      </c>
      <c r="Q57" s="96">
        <f t="shared" si="12"/>
        <v>313806.73413800006</v>
      </c>
      <c r="R57" s="96">
        <f t="shared" si="13"/>
        <v>162165.03442950002</v>
      </c>
      <c r="S57" s="96">
        <f t="shared" si="14"/>
        <v>318.33610856250004</v>
      </c>
      <c r="T57" s="96">
        <f t="shared" si="15"/>
        <v>0</v>
      </c>
      <c r="U57" s="96">
        <f t="shared" si="16"/>
        <v>0</v>
      </c>
      <c r="V57" s="96">
        <f t="shared" si="17"/>
        <v>0</v>
      </c>
      <c r="W57" s="96">
        <f t="shared" si="18"/>
        <v>651502.03735530004</v>
      </c>
      <c r="X57" s="48">
        <f t="shared" si="19"/>
        <v>1127792.1420313625</v>
      </c>
      <c r="Y57" s="583"/>
    </row>
    <row r="58" spans="1:25" x14ac:dyDescent="0.25">
      <c r="A58" s="583"/>
      <c r="B58" s="58" t="str">
        <f ca="1">DFIE!$B$53</f>
        <v>Waadt</v>
      </c>
      <c r="C58" s="53">
        <v>1904142.14</v>
      </c>
      <c r="D58" s="53">
        <v>438947.47200000001</v>
      </c>
      <c r="E58" s="53">
        <v>0</v>
      </c>
      <c r="F58" s="53">
        <v>0</v>
      </c>
      <c r="G58" s="53">
        <v>0</v>
      </c>
      <c r="H58" s="53">
        <v>2908747.574</v>
      </c>
      <c r="I58" s="53">
        <v>0</v>
      </c>
      <c r="J58" s="47">
        <f t="shared" si="11"/>
        <v>5251837.1859999998</v>
      </c>
      <c r="K58" s="99"/>
      <c r="L58" s="43"/>
      <c r="M58" s="43"/>
      <c r="N58" s="43"/>
      <c r="O58" s="99"/>
      <c r="P58" s="58" t="str">
        <f ca="1">DFIE!$B$53</f>
        <v>Waadt</v>
      </c>
      <c r="Q58" s="95">
        <f t="shared" si="12"/>
        <v>757848.57172000001</v>
      </c>
      <c r="R58" s="95">
        <f t="shared" si="13"/>
        <v>131025.82039200002</v>
      </c>
      <c r="S58" s="95">
        <f t="shared" si="14"/>
        <v>0</v>
      </c>
      <c r="T58" s="95">
        <f t="shared" si="15"/>
        <v>0</v>
      </c>
      <c r="U58" s="95">
        <f t="shared" si="16"/>
        <v>0</v>
      </c>
      <c r="V58" s="95">
        <f t="shared" si="17"/>
        <v>363593.44675</v>
      </c>
      <c r="W58" s="95">
        <f t="shared" si="18"/>
        <v>0</v>
      </c>
      <c r="X58" s="47">
        <f t="shared" si="19"/>
        <v>1252467.838862</v>
      </c>
      <c r="Y58" s="583"/>
    </row>
    <row r="59" spans="1:25" x14ac:dyDescent="0.25">
      <c r="A59" s="583"/>
      <c r="B59" s="57" t="str">
        <f ca="1">DFIE!$B$54</f>
        <v>Wallis</v>
      </c>
      <c r="C59" s="54">
        <v>1011189.297</v>
      </c>
      <c r="D59" s="54">
        <v>7192.7920000000004</v>
      </c>
      <c r="E59" s="54">
        <v>0</v>
      </c>
      <c r="F59" s="54">
        <v>0</v>
      </c>
      <c r="G59" s="54">
        <v>0</v>
      </c>
      <c r="H59" s="54">
        <v>115058.692</v>
      </c>
      <c r="I59" s="54">
        <v>72846.831999999995</v>
      </c>
      <c r="J59" s="48">
        <f t="shared" si="11"/>
        <v>1206287.6129999999</v>
      </c>
      <c r="K59" s="99"/>
      <c r="L59" s="43"/>
      <c r="M59" s="43"/>
      <c r="N59" s="43"/>
      <c r="O59" s="99"/>
      <c r="P59" s="57" t="str">
        <f ca="1">DFIE!$B$54</f>
        <v>Wallis</v>
      </c>
      <c r="Q59" s="96">
        <f t="shared" si="12"/>
        <v>402453.34020600002</v>
      </c>
      <c r="R59" s="96">
        <f t="shared" si="13"/>
        <v>2147.0484120000001</v>
      </c>
      <c r="S59" s="96">
        <f t="shared" si="14"/>
        <v>0</v>
      </c>
      <c r="T59" s="96">
        <f t="shared" si="15"/>
        <v>0</v>
      </c>
      <c r="U59" s="96">
        <f t="shared" si="16"/>
        <v>0</v>
      </c>
      <c r="V59" s="96">
        <f t="shared" si="17"/>
        <v>14382.336499999998</v>
      </c>
      <c r="W59" s="96">
        <f t="shared" si="18"/>
        <v>13046.867611199999</v>
      </c>
      <c r="X59" s="48">
        <f t="shared" si="19"/>
        <v>432029.59272920003</v>
      </c>
      <c r="Y59" s="583"/>
    </row>
    <row r="60" spans="1:25" x14ac:dyDescent="0.25">
      <c r="A60" s="583"/>
      <c r="B60" s="58" t="str">
        <f ca="1">DFIE!$B$55</f>
        <v>Neuenburg</v>
      </c>
      <c r="C60" s="53">
        <v>179860.598</v>
      </c>
      <c r="D60" s="53">
        <v>114697.139</v>
      </c>
      <c r="E60" s="53">
        <v>0</v>
      </c>
      <c r="F60" s="53">
        <v>923.73599999999999</v>
      </c>
      <c r="G60" s="53">
        <v>0</v>
      </c>
      <c r="H60" s="53">
        <v>1099239.2660000001</v>
      </c>
      <c r="I60" s="53">
        <v>0</v>
      </c>
      <c r="J60" s="47">
        <f t="shared" si="11"/>
        <v>1394720.7390000001</v>
      </c>
      <c r="K60" s="99"/>
      <c r="L60" s="43"/>
      <c r="M60" s="43"/>
      <c r="N60" s="43"/>
      <c r="O60" s="99"/>
      <c r="P60" s="58" t="str">
        <f ca="1">DFIE!$B$55</f>
        <v>Neuenburg</v>
      </c>
      <c r="Q60" s="95">
        <f t="shared" si="12"/>
        <v>71584.518003999998</v>
      </c>
      <c r="R60" s="95">
        <f t="shared" si="13"/>
        <v>34237.095991499998</v>
      </c>
      <c r="S60" s="95">
        <f t="shared" si="14"/>
        <v>0</v>
      </c>
      <c r="T60" s="95">
        <f t="shared" si="15"/>
        <v>115.46699999999998</v>
      </c>
      <c r="U60" s="95">
        <f t="shared" si="16"/>
        <v>0</v>
      </c>
      <c r="V60" s="95">
        <f t="shared" si="17"/>
        <v>137404.90824999998</v>
      </c>
      <c r="W60" s="95">
        <f t="shared" si="18"/>
        <v>0</v>
      </c>
      <c r="X60" s="47">
        <f t="shared" si="19"/>
        <v>243341.98924549998</v>
      </c>
      <c r="Y60" s="583"/>
    </row>
    <row r="61" spans="1:25" x14ac:dyDescent="0.25">
      <c r="A61" s="583"/>
      <c r="B61" s="57" t="str">
        <f ca="1">DFIE!$B$56</f>
        <v>Genf</v>
      </c>
      <c r="C61" s="54">
        <v>1352267.568</v>
      </c>
      <c r="D61" s="54">
        <v>827653.598</v>
      </c>
      <c r="E61" s="54">
        <v>2899.4810000000002</v>
      </c>
      <c r="F61" s="54">
        <v>0</v>
      </c>
      <c r="G61" s="54">
        <v>9531567.6459999997</v>
      </c>
      <c r="H61" s="54">
        <v>0</v>
      </c>
      <c r="I61" s="54">
        <v>0</v>
      </c>
      <c r="J61" s="48">
        <f t="shared" si="11"/>
        <v>11714388.293</v>
      </c>
      <c r="K61" s="99"/>
      <c r="L61" s="43"/>
      <c r="M61" s="43"/>
      <c r="N61" s="43"/>
      <c r="O61" s="99"/>
      <c r="P61" s="57" t="str">
        <f ca="1">DFIE!$B$56</f>
        <v>Genf</v>
      </c>
      <c r="Q61" s="96">
        <f t="shared" si="12"/>
        <v>538202.49206399999</v>
      </c>
      <c r="R61" s="96">
        <f t="shared" si="13"/>
        <v>247054.59900300001</v>
      </c>
      <c r="S61" s="96">
        <f t="shared" si="14"/>
        <v>757.30819368750008</v>
      </c>
      <c r="T61" s="96">
        <f t="shared" si="15"/>
        <v>0</v>
      </c>
      <c r="U61" s="96">
        <f t="shared" si="16"/>
        <v>1918492.7545254445</v>
      </c>
      <c r="V61" s="96">
        <f t="shared" si="17"/>
        <v>0</v>
      </c>
      <c r="W61" s="96">
        <f t="shared" si="18"/>
        <v>0</v>
      </c>
      <c r="X61" s="48">
        <f t="shared" si="19"/>
        <v>2704507.1537861321</v>
      </c>
      <c r="Y61" s="583"/>
    </row>
    <row r="62" spans="1:25" x14ac:dyDescent="0.25">
      <c r="A62" s="583"/>
      <c r="B62" s="58" t="str">
        <f ca="1">DFIE!$B$57</f>
        <v>Jura</v>
      </c>
      <c r="C62" s="53">
        <v>57261.546000000002</v>
      </c>
      <c r="D62" s="53">
        <v>15062.816000000001</v>
      </c>
      <c r="E62" s="53">
        <v>0</v>
      </c>
      <c r="F62" s="53">
        <v>871.98800000000006</v>
      </c>
      <c r="G62" s="53">
        <v>0</v>
      </c>
      <c r="H62" s="53">
        <v>644705.67599999998</v>
      </c>
      <c r="I62" s="53">
        <v>0</v>
      </c>
      <c r="J62" s="47">
        <f t="shared" si="11"/>
        <v>717902.02599999995</v>
      </c>
      <c r="K62" s="99"/>
      <c r="L62" s="43"/>
      <c r="M62" s="43"/>
      <c r="N62" s="43"/>
      <c r="O62" s="99"/>
      <c r="P62" s="58" t="str">
        <f ca="1">DFIE!$B$57</f>
        <v>Jura</v>
      </c>
      <c r="Q62" s="95">
        <f t="shared" si="12"/>
        <v>22790.095308000004</v>
      </c>
      <c r="R62" s="95">
        <f t="shared" si="13"/>
        <v>4496.2505760000004</v>
      </c>
      <c r="S62" s="95">
        <f t="shared" si="14"/>
        <v>0</v>
      </c>
      <c r="T62" s="95">
        <f t="shared" si="15"/>
        <v>108.99850000000001</v>
      </c>
      <c r="U62" s="95">
        <f t="shared" si="16"/>
        <v>0</v>
      </c>
      <c r="V62" s="95">
        <f t="shared" si="17"/>
        <v>80588.209499999997</v>
      </c>
      <c r="W62" s="95">
        <f t="shared" si="18"/>
        <v>0</v>
      </c>
      <c r="X62" s="47">
        <f t="shared" si="19"/>
        <v>107983.55388399999</v>
      </c>
      <c r="Y62" s="583"/>
    </row>
    <row r="63" spans="1:25" x14ac:dyDescent="0.25">
      <c r="A63" s="583"/>
      <c r="B63" s="59" t="str">
        <f ca="1">DFIE!$B$58</f>
        <v>Schweiz</v>
      </c>
      <c r="C63" s="55">
        <f t="shared" ref="C63:I63" si="20">SUM(C37:C62)</f>
        <v>19350992.530000001</v>
      </c>
      <c r="D63" s="55">
        <f t="shared" si="20"/>
        <v>4428007.6969999997</v>
      </c>
      <c r="E63" s="55">
        <f t="shared" si="20"/>
        <v>628607.77799999993</v>
      </c>
      <c r="F63" s="55">
        <f t="shared" si="20"/>
        <v>5070221.550999999</v>
      </c>
      <c r="G63" s="55">
        <f t="shared" si="20"/>
        <v>9531567.6459999997</v>
      </c>
      <c r="H63" s="55">
        <f t="shared" si="20"/>
        <v>7785828.3279999997</v>
      </c>
      <c r="I63" s="55">
        <f t="shared" si="20"/>
        <v>3856027.7039999999</v>
      </c>
      <c r="J63" s="49">
        <f t="shared" si="11"/>
        <v>50651253.233999997</v>
      </c>
      <c r="K63" s="43"/>
      <c r="L63" s="43"/>
      <c r="M63" s="43"/>
      <c r="N63" s="43"/>
      <c r="O63" s="43"/>
      <c r="P63" s="59" t="str">
        <f ca="1">DFIE!$B$58</f>
        <v>Schweiz</v>
      </c>
      <c r="Q63" s="55">
        <f t="shared" ref="Q63:W63" si="21">SUM(Q37:Q62)</f>
        <v>7701695.0269400021</v>
      </c>
      <c r="R63" s="55">
        <f t="shared" si="21"/>
        <v>1321760.2975544999</v>
      </c>
      <c r="S63" s="55">
        <f t="shared" si="21"/>
        <v>164184.49401637499</v>
      </c>
      <c r="T63" s="55">
        <f t="shared" si="21"/>
        <v>633777.69387499988</v>
      </c>
      <c r="U63" s="55">
        <f t="shared" si="21"/>
        <v>1918492.7545254445</v>
      </c>
      <c r="V63" s="55">
        <f t="shared" si="21"/>
        <v>973228.54099999997</v>
      </c>
      <c r="W63" s="55">
        <f t="shared" si="21"/>
        <v>690614.56178640004</v>
      </c>
      <c r="X63" s="49">
        <f>SUM(X37:X62)</f>
        <v>13403753.36969772</v>
      </c>
      <c r="Y63" s="583"/>
    </row>
    <row r="64" spans="1:25" ht="14.25" customHeight="1" x14ac:dyDescent="0.25">
      <c r="A64" s="66"/>
      <c r="B64" s="77"/>
      <c r="C64" s="77"/>
      <c r="D64" s="77"/>
      <c r="E64" s="77"/>
      <c r="F64" s="77"/>
      <c r="G64" s="77"/>
      <c r="H64" s="77"/>
      <c r="I64" s="77"/>
      <c r="J64" s="77"/>
      <c r="P64" s="91"/>
      <c r="Q64" s="92"/>
      <c r="R64" s="92"/>
      <c r="S64" s="92"/>
      <c r="T64" s="92"/>
      <c r="U64" s="92"/>
      <c r="V64" s="92"/>
      <c r="W64" s="92"/>
      <c r="X64" s="92"/>
    </row>
    <row r="65" spans="1:25" ht="12.75" customHeight="1" x14ac:dyDescent="0.25">
      <c r="A65" s="584" t="str">
        <f ca="1">DFIE!$B$75</f>
        <v>Bemessungsjahr 2022</v>
      </c>
      <c r="B65" s="60" t="str">
        <f ca="1">DFIE!$B$32</f>
        <v>Zürich</v>
      </c>
      <c r="C65" s="51">
        <v>4923764.1849999996</v>
      </c>
      <c r="D65" s="51">
        <v>222527.179</v>
      </c>
      <c r="E65" s="51">
        <v>33617.508999999998</v>
      </c>
      <c r="F65" s="51">
        <v>672919.15800000005</v>
      </c>
      <c r="G65" s="51">
        <v>0</v>
      </c>
      <c r="H65" s="51">
        <v>0</v>
      </c>
      <c r="I65" s="51">
        <v>0</v>
      </c>
      <c r="J65" s="52">
        <f t="shared" ref="J65:J91" si="22">SUM(C65:I65)</f>
        <v>5852828.0309999995</v>
      </c>
      <c r="K65" s="101"/>
      <c r="L65" s="46"/>
      <c r="M65" s="46"/>
      <c r="N65" s="46"/>
      <c r="O65" s="101"/>
      <c r="P65" s="60" t="str">
        <f ca="1">DFIE!$B$32</f>
        <v>Zürich</v>
      </c>
      <c r="Q65" s="93">
        <f>C65*$N$77</f>
        <v>1959658.1456299999</v>
      </c>
      <c r="R65" s="94">
        <f>D65*$N$78*$N$67</f>
        <v>66424.3629315</v>
      </c>
      <c r="S65" s="94">
        <f>E65*$N$79*$N$67</f>
        <v>8780.4731319375005</v>
      </c>
      <c r="T65" s="94">
        <f>F65*$N$80*$N$67</f>
        <v>80822.140862989327</v>
      </c>
      <c r="U65" s="94">
        <f>G65*$N$81*$N$67</f>
        <v>0</v>
      </c>
      <c r="V65" s="94">
        <f>H65*$N$82*$N$67</f>
        <v>0</v>
      </c>
      <c r="W65" s="94">
        <f>I65*$N$83*$N$67</f>
        <v>0</v>
      </c>
      <c r="X65" s="52">
        <f>SUM(Q65:W65)</f>
        <v>2115685.1225564266</v>
      </c>
      <c r="Y65" s="584" t="str">
        <f ca="1">DFIE!$B$75</f>
        <v>Bemessungsjahr 2022</v>
      </c>
    </row>
    <row r="66" spans="1:25" x14ac:dyDescent="0.25">
      <c r="A66" s="584"/>
      <c r="B66" s="58" t="str">
        <f ca="1">DFIE!$B$33</f>
        <v>Bern</v>
      </c>
      <c r="C66" s="53">
        <v>1714087.274</v>
      </c>
      <c r="D66" s="53">
        <v>219458.51699999999</v>
      </c>
      <c r="E66" s="53">
        <v>204.7</v>
      </c>
      <c r="F66" s="53">
        <v>26352.987000000001</v>
      </c>
      <c r="G66" s="53">
        <v>0</v>
      </c>
      <c r="H66" s="53">
        <v>227116.345</v>
      </c>
      <c r="I66" s="53">
        <v>0</v>
      </c>
      <c r="J66" s="47">
        <f t="shared" si="22"/>
        <v>2187219.8229999999</v>
      </c>
      <c r="K66" s="101"/>
      <c r="L66" s="79" t="str">
        <f ca="1">DFIE!$B$103</f>
        <v>Standardisierter Steuersatz SST(2025)</v>
      </c>
      <c r="M66" s="78"/>
      <c r="N66" s="86">
        <v>0.28100000000000003</v>
      </c>
      <c r="O66" s="101"/>
      <c r="P66" s="58" t="str">
        <f ca="1">DFIE!$B$33</f>
        <v>Bern</v>
      </c>
      <c r="Q66" s="95">
        <f t="shared" ref="Q66:Q90" si="23">C66*$N$77</f>
        <v>682206.73505200003</v>
      </c>
      <c r="R66" s="95">
        <f t="shared" ref="R66:R90" si="24">D66*$N$78*$N$67</f>
        <v>65508.367324499995</v>
      </c>
      <c r="S66" s="95">
        <f t="shared" ref="S66:S90" si="25">E66*$N$79*$N$67</f>
        <v>53.465081249999997</v>
      </c>
      <c r="T66" s="95">
        <f t="shared" ref="T66:T90" si="26">F66*$N$80*$N$67</f>
        <v>3165.1719261565831</v>
      </c>
      <c r="U66" s="95">
        <f t="shared" ref="U66:U90" si="27">G66*$N$81*$N$67</f>
        <v>0</v>
      </c>
      <c r="V66" s="95">
        <f t="shared" ref="V66:V90" si="28">H66*$N$82*$N$67</f>
        <v>27278.208696619215</v>
      </c>
      <c r="W66" s="95">
        <f t="shared" ref="W66:W90" si="29">I66*$N$83*$N$67</f>
        <v>0</v>
      </c>
      <c r="X66" s="47">
        <f t="shared" ref="X66:X90" si="30">SUM(Q66:W66)</f>
        <v>778211.94808052585</v>
      </c>
      <c r="Y66" s="584"/>
    </row>
    <row r="67" spans="1:25" x14ac:dyDescent="0.25">
      <c r="A67" s="584"/>
      <c r="B67" s="57" t="str">
        <f ca="1">DFIE!$B$34</f>
        <v>Luzern</v>
      </c>
      <c r="C67" s="54">
        <v>804142.95799999998</v>
      </c>
      <c r="D67" s="54">
        <v>120523.22199999999</v>
      </c>
      <c r="E67" s="54">
        <v>1290.855</v>
      </c>
      <c r="F67" s="54">
        <v>10893.951999999999</v>
      </c>
      <c r="G67" s="54">
        <v>0</v>
      </c>
      <c r="H67" s="54">
        <v>0</v>
      </c>
      <c r="I67" s="54">
        <v>0</v>
      </c>
      <c r="J67" s="48">
        <f t="shared" si="22"/>
        <v>936850.98699999996</v>
      </c>
      <c r="K67" s="101"/>
      <c r="L67" s="79" t="str">
        <f ca="1">DFIE!$B$106</f>
        <v>Faktor Delta 2022</v>
      </c>
      <c r="M67" s="79"/>
      <c r="N67" s="86">
        <v>0.75</v>
      </c>
      <c r="O67" s="101"/>
      <c r="P67" s="57" t="str">
        <f ca="1">DFIE!$B$34</f>
        <v>Luzern</v>
      </c>
      <c r="Q67" s="96">
        <f t="shared" si="23"/>
        <v>320048.89728400001</v>
      </c>
      <c r="R67" s="96">
        <f t="shared" si="24"/>
        <v>35976.181767000002</v>
      </c>
      <c r="S67" s="96">
        <f t="shared" si="25"/>
        <v>337.15519031250005</v>
      </c>
      <c r="T67" s="96">
        <f t="shared" si="26"/>
        <v>1308.4372953736654</v>
      </c>
      <c r="U67" s="96">
        <f t="shared" si="27"/>
        <v>0</v>
      </c>
      <c r="V67" s="96">
        <f t="shared" si="28"/>
        <v>0</v>
      </c>
      <c r="W67" s="96">
        <f t="shared" si="29"/>
        <v>0</v>
      </c>
      <c r="X67" s="48">
        <f t="shared" si="30"/>
        <v>357670.67153668613</v>
      </c>
      <c r="Y67" s="584"/>
    </row>
    <row r="68" spans="1:25" x14ac:dyDescent="0.25">
      <c r="A68" s="584"/>
      <c r="B68" s="58" t="str">
        <f ca="1">DFIE!$B$35</f>
        <v>Uri</v>
      </c>
      <c r="C68" s="53">
        <v>93349.944000000003</v>
      </c>
      <c r="D68" s="53">
        <v>2084.252</v>
      </c>
      <c r="E68" s="53">
        <v>65.39</v>
      </c>
      <c r="F68" s="53">
        <v>333.24799999999999</v>
      </c>
      <c r="G68" s="53">
        <v>0</v>
      </c>
      <c r="H68" s="53">
        <v>0</v>
      </c>
      <c r="I68" s="53">
        <v>0</v>
      </c>
      <c r="J68" s="47">
        <f t="shared" si="22"/>
        <v>95832.834000000003</v>
      </c>
      <c r="K68" s="101"/>
      <c r="L68" s="46"/>
      <c r="M68" s="46"/>
      <c r="N68" s="46"/>
      <c r="O68" s="101"/>
      <c r="P68" s="58" t="str">
        <f ca="1">DFIE!$B$35</f>
        <v>Uri</v>
      </c>
      <c r="Q68" s="95">
        <f t="shared" si="23"/>
        <v>37153.277712000003</v>
      </c>
      <c r="R68" s="95">
        <f t="shared" si="24"/>
        <v>622.14922200000001</v>
      </c>
      <c r="S68" s="95">
        <f t="shared" si="25"/>
        <v>17.079050625000001</v>
      </c>
      <c r="T68" s="95">
        <f t="shared" si="26"/>
        <v>40.02533807829181</v>
      </c>
      <c r="U68" s="95">
        <f t="shared" si="27"/>
        <v>0</v>
      </c>
      <c r="V68" s="95">
        <f t="shared" si="28"/>
        <v>0</v>
      </c>
      <c r="W68" s="95">
        <f t="shared" si="29"/>
        <v>0</v>
      </c>
      <c r="X68" s="47">
        <f t="shared" si="30"/>
        <v>37832.531322703289</v>
      </c>
      <c r="Y68" s="584"/>
    </row>
    <row r="69" spans="1:25" x14ac:dyDescent="0.25">
      <c r="A69" s="584"/>
      <c r="B69" s="57" t="str">
        <f ca="1">DFIE!$B$36</f>
        <v>Schwyz</v>
      </c>
      <c r="C69" s="54">
        <v>327496.41700000002</v>
      </c>
      <c r="D69" s="54">
        <v>129474.82</v>
      </c>
      <c r="E69" s="54">
        <v>4125.7489999999998</v>
      </c>
      <c r="F69" s="54">
        <v>5202.4290000000001</v>
      </c>
      <c r="G69" s="54">
        <v>0</v>
      </c>
      <c r="H69" s="54">
        <v>0</v>
      </c>
      <c r="I69" s="54">
        <v>0</v>
      </c>
      <c r="J69" s="48">
        <f t="shared" si="22"/>
        <v>466299.41500000004</v>
      </c>
      <c r="K69" s="101"/>
      <c r="L69" s="78" t="str">
        <f ca="1">DFIE!$B$109</f>
        <v>Berechnung Faktor Gamma 2022</v>
      </c>
      <c r="M69" s="78"/>
      <c r="N69" s="79"/>
      <c r="O69" s="101"/>
      <c r="P69" s="57" t="str">
        <f ca="1">DFIE!$B$36</f>
        <v>Schwyz</v>
      </c>
      <c r="Q69" s="96">
        <f t="shared" si="23"/>
        <v>130343.57396600001</v>
      </c>
      <c r="R69" s="96">
        <f t="shared" si="24"/>
        <v>38648.233770000006</v>
      </c>
      <c r="S69" s="96">
        <f t="shared" si="25"/>
        <v>1077.5940669375</v>
      </c>
      <c r="T69" s="96">
        <f t="shared" si="26"/>
        <v>624.8468994661921</v>
      </c>
      <c r="U69" s="96">
        <f t="shared" si="27"/>
        <v>0</v>
      </c>
      <c r="V69" s="96">
        <f t="shared" si="28"/>
        <v>0</v>
      </c>
      <c r="W69" s="96">
        <f t="shared" si="29"/>
        <v>0</v>
      </c>
      <c r="X69" s="48">
        <f t="shared" si="30"/>
        <v>170694.24870240371</v>
      </c>
      <c r="Y69" s="584"/>
    </row>
    <row r="70" spans="1:25" x14ac:dyDescent="0.25">
      <c r="A70" s="584"/>
      <c r="B70" s="58" t="str">
        <f ca="1">DFIE!$B$37</f>
        <v>Obwalden</v>
      </c>
      <c r="C70" s="53">
        <v>92415.384000000005</v>
      </c>
      <c r="D70" s="53">
        <v>15277.587</v>
      </c>
      <c r="E70" s="53">
        <v>278.19600000000003</v>
      </c>
      <c r="F70" s="53">
        <v>542.13400000000001</v>
      </c>
      <c r="G70" s="53">
        <v>0</v>
      </c>
      <c r="H70" s="53">
        <v>0</v>
      </c>
      <c r="I70" s="53">
        <v>0</v>
      </c>
      <c r="J70" s="47">
        <f t="shared" si="22"/>
        <v>108513.30100000001</v>
      </c>
      <c r="K70" s="101"/>
      <c r="L70" s="79"/>
      <c r="M70" s="79"/>
      <c r="N70" s="79"/>
      <c r="O70" s="101"/>
      <c r="P70" s="58" t="str">
        <f ca="1">DFIE!$B$37</f>
        <v>Obwalden</v>
      </c>
      <c r="Q70" s="95">
        <f t="shared" si="23"/>
        <v>36781.322832000005</v>
      </c>
      <c r="R70" s="95">
        <f t="shared" si="24"/>
        <v>4560.3597195000002</v>
      </c>
      <c r="S70" s="95">
        <f t="shared" si="25"/>
        <v>72.661317750000009</v>
      </c>
      <c r="T70" s="95">
        <f t="shared" si="26"/>
        <v>65.113959074733089</v>
      </c>
      <c r="U70" s="95">
        <f t="shared" si="27"/>
        <v>0</v>
      </c>
      <c r="V70" s="95">
        <f t="shared" si="28"/>
        <v>0</v>
      </c>
      <c r="W70" s="95">
        <f t="shared" si="29"/>
        <v>0</v>
      </c>
      <c r="X70" s="47">
        <f t="shared" si="30"/>
        <v>41479.457828324739</v>
      </c>
      <c r="Y70" s="584"/>
    </row>
    <row r="71" spans="1:25" x14ac:dyDescent="0.25">
      <c r="A71" s="584"/>
      <c r="B71" s="57" t="str">
        <f ca="1">DFIE!$B$38</f>
        <v>Nidwalden</v>
      </c>
      <c r="C71" s="54">
        <v>103896.83</v>
      </c>
      <c r="D71" s="54">
        <v>11097.800999999999</v>
      </c>
      <c r="E71" s="54">
        <v>2540.5230000000001</v>
      </c>
      <c r="F71" s="54">
        <v>1005.302</v>
      </c>
      <c r="G71" s="54">
        <v>0</v>
      </c>
      <c r="H71" s="54">
        <v>0</v>
      </c>
      <c r="I71" s="54">
        <v>0</v>
      </c>
      <c r="J71" s="48">
        <f t="shared" si="22"/>
        <v>118540.45599999999</v>
      </c>
      <c r="K71" s="101"/>
      <c r="L71" s="80" t="str">
        <f ca="1">DFIE!$B$110</f>
        <v>in CHF 1'000</v>
      </c>
      <c r="M71" s="80"/>
      <c r="N71" s="81"/>
      <c r="O71" s="101"/>
      <c r="P71" s="57" t="str">
        <f ca="1">DFIE!$B$38</f>
        <v>Nidwalden</v>
      </c>
      <c r="Q71" s="96">
        <f t="shared" si="23"/>
        <v>41350.938340000001</v>
      </c>
      <c r="R71" s="96">
        <f t="shared" si="24"/>
        <v>3312.6935985</v>
      </c>
      <c r="S71" s="96">
        <f t="shared" si="25"/>
        <v>663.55285106250005</v>
      </c>
      <c r="T71" s="96">
        <f t="shared" si="26"/>
        <v>120.74356761565835</v>
      </c>
      <c r="U71" s="96">
        <f t="shared" si="27"/>
        <v>0</v>
      </c>
      <c r="V71" s="96">
        <f t="shared" si="28"/>
        <v>0</v>
      </c>
      <c r="W71" s="96">
        <f t="shared" si="29"/>
        <v>0</v>
      </c>
      <c r="X71" s="48">
        <f t="shared" si="30"/>
        <v>45447.928357178163</v>
      </c>
      <c r="Y71" s="584"/>
    </row>
    <row r="72" spans="1:25" x14ac:dyDescent="0.25">
      <c r="A72" s="584"/>
      <c r="B72" s="58" t="str">
        <f ca="1">DFIE!$B$39</f>
        <v>Glarus</v>
      </c>
      <c r="C72" s="53">
        <v>131425.33799999999</v>
      </c>
      <c r="D72" s="53">
        <v>561.04899999999998</v>
      </c>
      <c r="E72" s="53">
        <v>758.50400000000002</v>
      </c>
      <c r="F72" s="53">
        <v>0</v>
      </c>
      <c r="G72" s="53">
        <v>0</v>
      </c>
      <c r="H72" s="53">
        <v>0</v>
      </c>
      <c r="I72" s="53">
        <v>0</v>
      </c>
      <c r="J72" s="47">
        <f t="shared" si="22"/>
        <v>132744.89099999997</v>
      </c>
      <c r="K72" s="101"/>
      <c r="L72" s="79" t="str">
        <f ca="1">DFIE!$B$111</f>
        <v>A    Massgebendes Einkommen</v>
      </c>
      <c r="M72" s="79"/>
      <c r="N72" s="90">
        <f>NP!E91</f>
        <v>216880549.46000004</v>
      </c>
      <c r="O72" s="101"/>
      <c r="P72" s="58" t="str">
        <f ca="1">DFIE!$B$39</f>
        <v>Glarus</v>
      </c>
      <c r="Q72" s="95">
        <f t="shared" si="23"/>
        <v>52307.284523999995</v>
      </c>
      <c r="R72" s="95">
        <f t="shared" si="24"/>
        <v>167.47312650000001</v>
      </c>
      <c r="S72" s="95">
        <f t="shared" si="25"/>
        <v>198.1117635</v>
      </c>
      <c r="T72" s="95">
        <f t="shared" si="26"/>
        <v>0</v>
      </c>
      <c r="U72" s="95">
        <f t="shared" si="27"/>
        <v>0</v>
      </c>
      <c r="V72" s="95">
        <f t="shared" si="28"/>
        <v>0</v>
      </c>
      <c r="W72" s="95">
        <f t="shared" si="29"/>
        <v>0</v>
      </c>
      <c r="X72" s="47">
        <f t="shared" si="30"/>
        <v>52672.869413999993</v>
      </c>
      <c r="Y72" s="584"/>
    </row>
    <row r="73" spans="1:25" x14ac:dyDescent="0.25">
      <c r="A73" s="584"/>
      <c r="B73" s="57" t="str">
        <f ca="1">DFIE!$B$40</f>
        <v>Zug</v>
      </c>
      <c r="C73" s="54">
        <v>520028.777</v>
      </c>
      <c r="D73" s="54">
        <v>416214.65299999999</v>
      </c>
      <c r="E73" s="54">
        <v>4751.5360000000001</v>
      </c>
      <c r="F73" s="54">
        <v>22813.284</v>
      </c>
      <c r="G73" s="54">
        <v>0</v>
      </c>
      <c r="H73" s="54">
        <v>0</v>
      </c>
      <c r="I73" s="54">
        <v>0</v>
      </c>
      <c r="J73" s="48">
        <f t="shared" si="22"/>
        <v>963808.24999999988</v>
      </c>
      <c r="K73" s="101"/>
      <c r="L73" s="79" t="str">
        <f ca="1">DFIE!$B$112</f>
        <v>B    Primäreinkommen der privaten Haushalte</v>
      </c>
      <c r="M73" s="79"/>
      <c r="N73" s="85">
        <v>544503312.03183997</v>
      </c>
      <c r="O73" s="101"/>
      <c r="P73" s="57" t="str">
        <f ca="1">DFIE!$B$40</f>
        <v>Zug</v>
      </c>
      <c r="Q73" s="96">
        <f t="shared" si="23"/>
        <v>206971.45324600002</v>
      </c>
      <c r="R73" s="96">
        <f t="shared" si="24"/>
        <v>124240.0739205</v>
      </c>
      <c r="S73" s="96">
        <f t="shared" si="25"/>
        <v>1241.0418090000001</v>
      </c>
      <c r="T73" s="96">
        <f t="shared" si="26"/>
        <v>2740.0296619217079</v>
      </c>
      <c r="U73" s="96">
        <f t="shared" si="27"/>
        <v>0</v>
      </c>
      <c r="V73" s="96">
        <f t="shared" si="28"/>
        <v>0</v>
      </c>
      <c r="W73" s="96">
        <f t="shared" si="29"/>
        <v>0</v>
      </c>
      <c r="X73" s="48">
        <f t="shared" si="30"/>
        <v>335192.59863742173</v>
      </c>
      <c r="Y73" s="584"/>
    </row>
    <row r="74" spans="1:25" x14ac:dyDescent="0.25">
      <c r="A74" s="584"/>
      <c r="B74" s="58" t="str">
        <f ca="1">DFIE!$B$41</f>
        <v>Freiburg</v>
      </c>
      <c r="C74" s="53">
        <v>604680.46600000001</v>
      </c>
      <c r="D74" s="53">
        <v>114492.231</v>
      </c>
      <c r="E74" s="53">
        <v>342.88499999999999</v>
      </c>
      <c r="F74" s="53">
        <v>782.91800000000001</v>
      </c>
      <c r="G74" s="53">
        <v>0</v>
      </c>
      <c r="H74" s="53">
        <v>0</v>
      </c>
      <c r="I74" s="53">
        <v>0</v>
      </c>
      <c r="J74" s="47">
        <f t="shared" si="22"/>
        <v>720298.5</v>
      </c>
      <c r="K74" s="101"/>
      <c r="L74" s="78" t="str">
        <f ca="1">DFIE!$B$113</f>
        <v>C    Faktor Gamma 2022 (γ)     (A / B)</v>
      </c>
      <c r="M74" s="78"/>
      <c r="N74" s="82">
        <f>ROUND(N72/N73,3)</f>
        <v>0.39800000000000002</v>
      </c>
      <c r="O74" s="101"/>
      <c r="P74" s="58" t="str">
        <f ca="1">DFIE!$B$41</f>
        <v>Freiburg</v>
      </c>
      <c r="Q74" s="95">
        <f t="shared" si="23"/>
        <v>240662.82546800002</v>
      </c>
      <c r="R74" s="95">
        <f t="shared" si="24"/>
        <v>34175.930953500007</v>
      </c>
      <c r="S74" s="95">
        <f t="shared" si="25"/>
        <v>89.557275937499995</v>
      </c>
      <c r="T74" s="95">
        <f t="shared" si="26"/>
        <v>94.033745551601413</v>
      </c>
      <c r="U74" s="95">
        <f t="shared" si="27"/>
        <v>0</v>
      </c>
      <c r="V74" s="95">
        <f t="shared" si="28"/>
        <v>0</v>
      </c>
      <c r="W74" s="95">
        <f t="shared" si="29"/>
        <v>0</v>
      </c>
      <c r="X74" s="47">
        <f t="shared" si="30"/>
        <v>275022.34744298912</v>
      </c>
      <c r="Y74" s="584"/>
    </row>
    <row r="75" spans="1:25" x14ac:dyDescent="0.25">
      <c r="A75" s="584"/>
      <c r="B75" s="57" t="str">
        <f ca="1">DFIE!$B$42</f>
        <v>Solothurn</v>
      </c>
      <c r="C75" s="54">
        <v>477543.15399999998</v>
      </c>
      <c r="D75" s="54">
        <v>53318.728999999999</v>
      </c>
      <c r="E75" s="54">
        <v>1090.2919999999999</v>
      </c>
      <c r="F75" s="54">
        <v>59524.18</v>
      </c>
      <c r="G75" s="54">
        <v>0</v>
      </c>
      <c r="H75" s="54">
        <v>115489.73299999999</v>
      </c>
      <c r="I75" s="54">
        <v>0</v>
      </c>
      <c r="J75" s="48">
        <f t="shared" si="22"/>
        <v>706966.08800000011</v>
      </c>
      <c r="K75" s="101"/>
      <c r="L75" s="46"/>
      <c r="M75" s="46"/>
      <c r="N75" s="46"/>
      <c r="O75" s="101"/>
      <c r="P75" s="57" t="str">
        <f ca="1">DFIE!$B$42</f>
        <v>Solothurn</v>
      </c>
      <c r="Q75" s="96">
        <f t="shared" si="23"/>
        <v>190062.175292</v>
      </c>
      <c r="R75" s="96">
        <f t="shared" si="24"/>
        <v>15915.640606500001</v>
      </c>
      <c r="S75" s="96">
        <f t="shared" si="25"/>
        <v>284.77064174999998</v>
      </c>
      <c r="T75" s="96">
        <f t="shared" si="26"/>
        <v>7149.2564946619204</v>
      </c>
      <c r="U75" s="96">
        <f t="shared" si="27"/>
        <v>0</v>
      </c>
      <c r="V75" s="96">
        <f t="shared" si="28"/>
        <v>13871.097824733093</v>
      </c>
      <c r="W75" s="96">
        <f t="shared" si="29"/>
        <v>0</v>
      </c>
      <c r="X75" s="48">
        <f t="shared" si="30"/>
        <v>227282.94085964499</v>
      </c>
      <c r="Y75" s="584"/>
    </row>
    <row r="76" spans="1:25" x14ac:dyDescent="0.25">
      <c r="A76" s="584"/>
      <c r="B76" s="58" t="str">
        <f ca="1">DFIE!$B$43</f>
        <v>Basel-Stadt</v>
      </c>
      <c r="C76" s="53">
        <v>683619.55599999998</v>
      </c>
      <c r="D76" s="53">
        <v>599187.42299999995</v>
      </c>
      <c r="E76" s="53">
        <v>2345.502</v>
      </c>
      <c r="F76" s="53">
        <v>1589153.889</v>
      </c>
      <c r="G76" s="53">
        <v>0</v>
      </c>
      <c r="H76" s="53">
        <v>1709728.378</v>
      </c>
      <c r="I76" s="53">
        <v>0</v>
      </c>
      <c r="J76" s="47">
        <f t="shared" si="22"/>
        <v>4584034.7479999997</v>
      </c>
      <c r="K76" s="101"/>
      <c r="L76" s="78" t="str">
        <f ca="1">DFIE!$B$61</f>
        <v>Kategorie</v>
      </c>
      <c r="M76" s="78" t="str">
        <f ca="1">DFIE!$B$114</f>
        <v>Formel für Gewicht</v>
      </c>
      <c r="N76" s="88" t="str">
        <f ca="1">DFIE!$B$115</f>
        <v>Gewicht (ω)</v>
      </c>
      <c r="O76" s="101"/>
      <c r="P76" s="58" t="str">
        <f ca="1">DFIE!$B$43</f>
        <v>Basel-Stadt</v>
      </c>
      <c r="Q76" s="95">
        <f t="shared" si="23"/>
        <v>272080.58328800002</v>
      </c>
      <c r="R76" s="95">
        <f t="shared" si="24"/>
        <v>178857.44576550002</v>
      </c>
      <c r="S76" s="95">
        <f t="shared" si="25"/>
        <v>612.61580362500001</v>
      </c>
      <c r="T76" s="95">
        <f t="shared" si="26"/>
        <v>190868.12723754445</v>
      </c>
      <c r="U76" s="95">
        <f t="shared" si="27"/>
        <v>0</v>
      </c>
      <c r="V76" s="95">
        <f t="shared" si="28"/>
        <v>205349.93863878999</v>
      </c>
      <c r="W76" s="95">
        <f t="shared" si="29"/>
        <v>0</v>
      </c>
      <c r="X76" s="47">
        <f t="shared" si="30"/>
        <v>847768.71073345956</v>
      </c>
      <c r="Y76" s="584"/>
    </row>
    <row r="77" spans="1:25" x14ac:dyDescent="0.25">
      <c r="A77" s="584"/>
      <c r="B77" s="57" t="str">
        <f ca="1">DFIE!$B$44</f>
        <v>Basel-Landschaft</v>
      </c>
      <c r="C77" s="54">
        <v>386640.065</v>
      </c>
      <c r="D77" s="54">
        <v>109710.565</v>
      </c>
      <c r="E77" s="54">
        <v>1556.2539999999999</v>
      </c>
      <c r="F77" s="54">
        <v>870934.21900000004</v>
      </c>
      <c r="G77" s="54">
        <v>0</v>
      </c>
      <c r="H77" s="54">
        <v>1131137.426</v>
      </c>
      <c r="I77" s="54">
        <v>0</v>
      </c>
      <c r="J77" s="48">
        <f t="shared" si="22"/>
        <v>2499978.5290000001</v>
      </c>
      <c r="K77" s="101"/>
      <c r="L77" s="83">
        <v>0</v>
      </c>
      <c r="M77" s="83" t="s">
        <v>64</v>
      </c>
      <c r="N77" s="87">
        <f>N74</f>
        <v>0.39800000000000002</v>
      </c>
      <c r="O77" s="101"/>
      <c r="P77" s="57" t="str">
        <f ca="1">DFIE!$B$44</f>
        <v>Basel-Landschaft</v>
      </c>
      <c r="Q77" s="96">
        <f t="shared" si="23"/>
        <v>153882.74587000001</v>
      </c>
      <c r="R77" s="96">
        <f t="shared" si="24"/>
        <v>32748.603652500002</v>
      </c>
      <c r="S77" s="96">
        <f t="shared" si="25"/>
        <v>406.47409162499997</v>
      </c>
      <c r="T77" s="96">
        <f t="shared" si="26"/>
        <v>104605.08858096084</v>
      </c>
      <c r="U77" s="96">
        <f t="shared" si="27"/>
        <v>0</v>
      </c>
      <c r="V77" s="96">
        <f t="shared" si="28"/>
        <v>135857.25312277579</v>
      </c>
      <c r="W77" s="96">
        <f t="shared" si="29"/>
        <v>0</v>
      </c>
      <c r="X77" s="48">
        <f t="shared" si="30"/>
        <v>427500.1653178616</v>
      </c>
      <c r="Y77" s="584"/>
    </row>
    <row r="78" spans="1:25" x14ac:dyDescent="0.25">
      <c r="A78" s="584"/>
      <c r="B78" s="58" t="str">
        <f ca="1">DFIE!$B$45</f>
        <v>Schaffhausen</v>
      </c>
      <c r="C78" s="53">
        <v>176191.38500000001</v>
      </c>
      <c r="D78" s="53">
        <v>38102.366999999998</v>
      </c>
      <c r="E78" s="53">
        <v>1881.5060000000001</v>
      </c>
      <c r="F78" s="53">
        <v>441164.77799999999</v>
      </c>
      <c r="G78" s="53">
        <v>0</v>
      </c>
      <c r="H78" s="53">
        <v>0</v>
      </c>
      <c r="I78" s="53">
        <v>0</v>
      </c>
      <c r="J78" s="47">
        <f t="shared" si="22"/>
        <v>657340.03599999996</v>
      </c>
      <c r="K78" s="101"/>
      <c r="L78" s="83">
        <v>1</v>
      </c>
      <c r="M78" s="83" t="s">
        <v>64</v>
      </c>
      <c r="N78" s="87">
        <f>N74</f>
        <v>0.39800000000000002</v>
      </c>
      <c r="O78" s="101"/>
      <c r="P78" s="58" t="str">
        <f ca="1">DFIE!$B$45</f>
        <v>Schaffhausen</v>
      </c>
      <c r="Q78" s="95">
        <f t="shared" si="23"/>
        <v>70124.171230000007</v>
      </c>
      <c r="R78" s="95">
        <f t="shared" si="24"/>
        <v>11373.556549500001</v>
      </c>
      <c r="S78" s="95">
        <f t="shared" si="25"/>
        <v>491.42584837500004</v>
      </c>
      <c r="T78" s="95">
        <f t="shared" si="26"/>
        <v>52986.872802491096</v>
      </c>
      <c r="U78" s="95">
        <f t="shared" si="27"/>
        <v>0</v>
      </c>
      <c r="V78" s="95">
        <f t="shared" si="28"/>
        <v>0</v>
      </c>
      <c r="W78" s="95">
        <f t="shared" si="29"/>
        <v>0</v>
      </c>
      <c r="X78" s="47">
        <f t="shared" si="30"/>
        <v>134976.0264303661</v>
      </c>
      <c r="Y78" s="584"/>
    </row>
    <row r="79" spans="1:25" x14ac:dyDescent="0.25">
      <c r="A79" s="584"/>
      <c r="B79" s="57" t="str">
        <f ca="1">DFIE!$B$46</f>
        <v>Appenzell A.Rh.</v>
      </c>
      <c r="C79" s="54">
        <v>47388.423999999999</v>
      </c>
      <c r="D79" s="54">
        <v>29782.504000000001</v>
      </c>
      <c r="E79" s="54">
        <v>20013.992999999999</v>
      </c>
      <c r="F79" s="54">
        <v>6132.6639999999998</v>
      </c>
      <c r="G79" s="54">
        <v>0</v>
      </c>
      <c r="H79" s="54">
        <v>0</v>
      </c>
      <c r="I79" s="54">
        <v>0</v>
      </c>
      <c r="J79" s="48">
        <f t="shared" si="22"/>
        <v>103317.58500000001</v>
      </c>
      <c r="K79" s="101"/>
      <c r="L79" s="83" t="s">
        <v>53</v>
      </c>
      <c r="M79" s="83" t="s">
        <v>80</v>
      </c>
      <c r="N79" s="87">
        <f>0.875*N74</f>
        <v>0.34825</v>
      </c>
      <c r="O79" s="101"/>
      <c r="P79" s="57" t="str">
        <f ca="1">DFIE!$B$46</f>
        <v>Appenzell A.Rh.</v>
      </c>
      <c r="Q79" s="96">
        <f t="shared" si="23"/>
        <v>18860.592752</v>
      </c>
      <c r="R79" s="96">
        <f t="shared" si="24"/>
        <v>8890.0774440000023</v>
      </c>
      <c r="S79" s="96">
        <f t="shared" si="25"/>
        <v>5227.4047966874996</v>
      </c>
      <c r="T79" s="96">
        <f t="shared" si="26"/>
        <v>736.57441281138779</v>
      </c>
      <c r="U79" s="96">
        <f t="shared" si="27"/>
        <v>0</v>
      </c>
      <c r="V79" s="96">
        <f t="shared" si="28"/>
        <v>0</v>
      </c>
      <c r="W79" s="96">
        <f t="shared" si="29"/>
        <v>0</v>
      </c>
      <c r="X79" s="48">
        <f t="shared" si="30"/>
        <v>33714.649405498887</v>
      </c>
      <c r="Y79" s="584"/>
    </row>
    <row r="80" spans="1:25" x14ac:dyDescent="0.25">
      <c r="A80" s="584"/>
      <c r="B80" s="58" t="str">
        <f ca="1">DFIE!$B$47</f>
        <v>Appenzell I.Rh.</v>
      </c>
      <c r="C80" s="53">
        <v>21477.223000000002</v>
      </c>
      <c r="D80" s="53">
        <v>2632.422</v>
      </c>
      <c r="E80" s="53">
        <v>4875.7830000000004</v>
      </c>
      <c r="F80" s="53">
        <v>871.56799999999998</v>
      </c>
      <c r="G80" s="53">
        <v>0</v>
      </c>
      <c r="H80" s="53">
        <v>0</v>
      </c>
      <c r="I80" s="53">
        <v>0</v>
      </c>
      <c r="J80" s="47">
        <f t="shared" si="22"/>
        <v>29856.995999999999</v>
      </c>
      <c r="K80" s="101"/>
      <c r="L80" s="83" t="s">
        <v>54</v>
      </c>
      <c r="M80" s="83" t="str">
        <f ca="1">DFIE!$B$120</f>
        <v>0.045 / SST(2025)</v>
      </c>
      <c r="N80" s="87">
        <f>0.045/$N$66</f>
        <v>0.16014234875444838</v>
      </c>
      <c r="O80" s="101"/>
      <c r="P80" s="58" t="str">
        <f ca="1">DFIE!$B$47</f>
        <v>Appenzell I.Rh.</v>
      </c>
      <c r="Q80" s="95">
        <f t="shared" si="23"/>
        <v>8547.9347540000017</v>
      </c>
      <c r="R80" s="95">
        <f t="shared" si="24"/>
        <v>785.77796699999999</v>
      </c>
      <c r="S80" s="95">
        <f t="shared" si="25"/>
        <v>1273.4935723125002</v>
      </c>
      <c r="T80" s="95">
        <f t="shared" si="26"/>
        <v>104.6812099644128</v>
      </c>
      <c r="U80" s="95">
        <f t="shared" si="27"/>
        <v>0</v>
      </c>
      <c r="V80" s="95">
        <f t="shared" si="28"/>
        <v>0</v>
      </c>
      <c r="W80" s="95">
        <f t="shared" si="29"/>
        <v>0</v>
      </c>
      <c r="X80" s="47">
        <f t="shared" si="30"/>
        <v>10711.887503276914</v>
      </c>
      <c r="Y80" s="584"/>
    </row>
    <row r="81" spans="1:25" x14ac:dyDescent="0.25">
      <c r="A81" s="584"/>
      <c r="B81" s="57" t="str">
        <f ca="1">DFIE!$B$48</f>
        <v>St. Gallen</v>
      </c>
      <c r="C81" s="54">
        <v>1007913.292</v>
      </c>
      <c r="D81" s="54">
        <v>143475.454</v>
      </c>
      <c r="E81" s="54">
        <v>530662.75300000003</v>
      </c>
      <c r="F81" s="54">
        <v>123352.891</v>
      </c>
      <c r="G81" s="54">
        <v>0</v>
      </c>
      <c r="H81" s="54">
        <v>0</v>
      </c>
      <c r="I81" s="54">
        <v>0</v>
      </c>
      <c r="J81" s="48">
        <f t="shared" si="22"/>
        <v>1805404.3900000001</v>
      </c>
      <c r="K81" s="101"/>
      <c r="L81" s="83" t="s">
        <v>55</v>
      </c>
      <c r="M81" s="83" t="str">
        <f ca="1">DFIE!$B$121</f>
        <v>γ - 0.035 / SST(2025)</v>
      </c>
      <c r="N81" s="87">
        <f>N74-0.035/$N$66</f>
        <v>0.27344483985765128</v>
      </c>
      <c r="O81" s="101"/>
      <c r="P81" s="57" t="str">
        <f ca="1">DFIE!$B$48</f>
        <v>St. Gallen</v>
      </c>
      <c r="Q81" s="96">
        <f t="shared" si="23"/>
        <v>401149.49021600001</v>
      </c>
      <c r="R81" s="96">
        <f t="shared" si="24"/>
        <v>42827.423019000002</v>
      </c>
      <c r="S81" s="96">
        <f t="shared" si="25"/>
        <v>138602.4777991875</v>
      </c>
      <c r="T81" s="96">
        <f t="shared" si="26"/>
        <v>14815.516267793595</v>
      </c>
      <c r="U81" s="96">
        <f t="shared" si="27"/>
        <v>0</v>
      </c>
      <c r="V81" s="96">
        <f t="shared" si="28"/>
        <v>0</v>
      </c>
      <c r="W81" s="96">
        <f t="shared" si="29"/>
        <v>0</v>
      </c>
      <c r="X81" s="48">
        <f t="shared" si="30"/>
        <v>597394.90730198112</v>
      </c>
      <c r="Y81" s="584"/>
    </row>
    <row r="82" spans="1:25" x14ac:dyDescent="0.25">
      <c r="A82" s="584"/>
      <c r="B82" s="58" t="str">
        <f ca="1">DFIE!$B$49</f>
        <v>Graubünden</v>
      </c>
      <c r="C82" s="53">
        <v>953696.76399999997</v>
      </c>
      <c r="D82" s="53">
        <v>307605.65600000002</v>
      </c>
      <c r="E82" s="53">
        <v>27934.796999999999</v>
      </c>
      <c r="F82" s="53">
        <v>1712.0609999999999</v>
      </c>
      <c r="G82" s="53">
        <v>0</v>
      </c>
      <c r="H82" s="53">
        <v>0</v>
      </c>
      <c r="I82" s="53">
        <v>156475.35200000001</v>
      </c>
      <c r="J82" s="47">
        <f t="shared" si="22"/>
        <v>1447424.63</v>
      </c>
      <c r="K82" s="101"/>
      <c r="L82" s="83" t="s">
        <v>56</v>
      </c>
      <c r="M82" s="83" t="str">
        <f ca="1">DFIE!$B$120</f>
        <v>0.045 / SST(2025)</v>
      </c>
      <c r="N82" s="87">
        <f>0.045/$N$66</f>
        <v>0.16014234875444838</v>
      </c>
      <c r="O82" s="101"/>
      <c r="P82" s="58" t="str">
        <f ca="1">DFIE!$B$49</f>
        <v>Graubünden</v>
      </c>
      <c r="Q82" s="95">
        <f t="shared" si="23"/>
        <v>379571.312072</v>
      </c>
      <c r="R82" s="95">
        <f t="shared" si="24"/>
        <v>91820.288316000006</v>
      </c>
      <c r="S82" s="95">
        <f t="shared" si="25"/>
        <v>7296.2197914375001</v>
      </c>
      <c r="T82" s="95">
        <f t="shared" si="26"/>
        <v>205.63010231316724</v>
      </c>
      <c r="U82" s="95">
        <f t="shared" si="27"/>
        <v>0</v>
      </c>
      <c r="V82" s="95">
        <f t="shared" si="28"/>
        <v>0</v>
      </c>
      <c r="W82" s="95">
        <f t="shared" si="29"/>
        <v>28024.735543200004</v>
      </c>
      <c r="X82" s="47">
        <f t="shared" si="30"/>
        <v>506918.18582495069</v>
      </c>
      <c r="Y82" s="584"/>
    </row>
    <row r="83" spans="1:25" x14ac:dyDescent="0.25">
      <c r="A83" s="584"/>
      <c r="B83" s="57" t="str">
        <f ca="1">DFIE!$B$50</f>
        <v>Aargau</v>
      </c>
      <c r="C83" s="54">
        <v>1575378.18</v>
      </c>
      <c r="D83" s="54">
        <v>393913.929</v>
      </c>
      <c r="E83" s="54">
        <v>7144.9369999999999</v>
      </c>
      <c r="F83" s="54">
        <v>1013888.2389999999</v>
      </c>
      <c r="G83" s="54">
        <v>0</v>
      </c>
      <c r="H83" s="54">
        <v>0</v>
      </c>
      <c r="I83" s="54">
        <v>0</v>
      </c>
      <c r="J83" s="48">
        <f t="shared" si="22"/>
        <v>2990325.2849999997</v>
      </c>
      <c r="K83" s="101"/>
      <c r="L83" s="83" t="s">
        <v>57</v>
      </c>
      <c r="M83" s="83" t="s">
        <v>81</v>
      </c>
      <c r="N83" s="87">
        <f>0.6*N74</f>
        <v>0.23880000000000001</v>
      </c>
      <c r="O83" s="101"/>
      <c r="P83" s="57" t="str">
        <f ca="1">DFIE!$B$50</f>
        <v>Aargau</v>
      </c>
      <c r="Q83" s="96">
        <f t="shared" si="23"/>
        <v>627000.51564</v>
      </c>
      <c r="R83" s="96">
        <f t="shared" si="24"/>
        <v>117583.30780650002</v>
      </c>
      <c r="S83" s="96">
        <f t="shared" si="25"/>
        <v>1866.1682326875002</v>
      </c>
      <c r="T83" s="96">
        <f t="shared" si="26"/>
        <v>121774.83297597864</v>
      </c>
      <c r="U83" s="96">
        <f t="shared" si="27"/>
        <v>0</v>
      </c>
      <c r="V83" s="96">
        <f t="shared" si="28"/>
        <v>0</v>
      </c>
      <c r="W83" s="96">
        <f t="shared" si="29"/>
        <v>0</v>
      </c>
      <c r="X83" s="48">
        <f t="shared" si="30"/>
        <v>868224.82465516613</v>
      </c>
      <c r="Y83" s="584"/>
    </row>
    <row r="84" spans="1:25" x14ac:dyDescent="0.25">
      <c r="A84" s="584"/>
      <c r="B84" s="58" t="str">
        <f ca="1">DFIE!$B$51</f>
        <v>Thurgau</v>
      </c>
      <c r="C84" s="53">
        <v>722365.71400000004</v>
      </c>
      <c r="D84" s="53">
        <v>109605.197</v>
      </c>
      <c r="E84" s="53">
        <v>23955.637999999999</v>
      </c>
      <c r="F84" s="53">
        <v>356106.08500000002</v>
      </c>
      <c r="G84" s="53">
        <v>0</v>
      </c>
      <c r="H84" s="53">
        <v>0</v>
      </c>
      <c r="I84" s="53">
        <v>0</v>
      </c>
      <c r="J84" s="47">
        <f t="shared" si="22"/>
        <v>1212032.6340000001</v>
      </c>
      <c r="K84" s="101"/>
      <c r="L84" s="46"/>
      <c r="M84" s="46"/>
      <c r="N84" s="46"/>
      <c r="O84" s="101"/>
      <c r="P84" s="58" t="str">
        <f ca="1">DFIE!$B$51</f>
        <v>Thurgau</v>
      </c>
      <c r="Q84" s="95">
        <f t="shared" si="23"/>
        <v>287501.55417200003</v>
      </c>
      <c r="R84" s="95">
        <f t="shared" si="24"/>
        <v>32717.151304500003</v>
      </c>
      <c r="S84" s="95">
        <f t="shared" si="25"/>
        <v>6256.913200125</v>
      </c>
      <c r="T84" s="95">
        <f t="shared" si="26"/>
        <v>42770.748643238432</v>
      </c>
      <c r="U84" s="95">
        <f t="shared" si="27"/>
        <v>0</v>
      </c>
      <c r="V84" s="95">
        <f t="shared" si="28"/>
        <v>0</v>
      </c>
      <c r="W84" s="95">
        <f t="shared" si="29"/>
        <v>0</v>
      </c>
      <c r="X84" s="47">
        <f t="shared" si="30"/>
        <v>369246.36731986346</v>
      </c>
      <c r="Y84" s="584"/>
    </row>
    <row r="85" spans="1:25" x14ac:dyDescent="0.25">
      <c r="A85" s="584"/>
      <c r="B85" s="57" t="str">
        <f ca="1">DFIE!$B$52</f>
        <v>Tessin</v>
      </c>
      <c r="C85" s="54">
        <v>1024113.498</v>
      </c>
      <c r="D85" s="54">
        <v>668385.54700000002</v>
      </c>
      <c r="E85" s="54">
        <v>1485.912</v>
      </c>
      <c r="F85" s="54">
        <v>0</v>
      </c>
      <c r="G85" s="54">
        <v>0</v>
      </c>
      <c r="H85" s="54">
        <v>0</v>
      </c>
      <c r="I85" s="54">
        <v>3699241.2439999999</v>
      </c>
      <c r="J85" s="48">
        <f t="shared" si="22"/>
        <v>5393226.2009999994</v>
      </c>
      <c r="K85" s="101"/>
      <c r="L85" s="46"/>
      <c r="M85" s="46"/>
      <c r="N85" s="46"/>
      <c r="O85" s="101"/>
      <c r="P85" s="57" t="str">
        <f ca="1">DFIE!$B$52</f>
        <v>Tessin</v>
      </c>
      <c r="Q85" s="96">
        <f t="shared" si="23"/>
        <v>407597.172204</v>
      </c>
      <c r="R85" s="96">
        <f t="shared" si="24"/>
        <v>199513.08577950002</v>
      </c>
      <c r="S85" s="96">
        <f t="shared" si="25"/>
        <v>388.10164049999997</v>
      </c>
      <c r="T85" s="96">
        <f t="shared" si="26"/>
        <v>0</v>
      </c>
      <c r="U85" s="96">
        <f t="shared" si="27"/>
        <v>0</v>
      </c>
      <c r="V85" s="96">
        <f t="shared" si="28"/>
        <v>0</v>
      </c>
      <c r="W85" s="96">
        <f t="shared" si="29"/>
        <v>662534.10680040007</v>
      </c>
      <c r="X85" s="48">
        <f t="shared" si="30"/>
        <v>1270032.4664244</v>
      </c>
      <c r="Y85" s="584"/>
    </row>
    <row r="86" spans="1:25" x14ac:dyDescent="0.25">
      <c r="A86" s="584"/>
      <c r="B86" s="58" t="str">
        <f ca="1">DFIE!$B$53</f>
        <v>Waadt</v>
      </c>
      <c r="C86" s="53">
        <v>1979761.7239999999</v>
      </c>
      <c r="D86" s="53">
        <v>537206.82200000004</v>
      </c>
      <c r="E86" s="53">
        <v>0</v>
      </c>
      <c r="F86" s="53">
        <v>552.81399999999996</v>
      </c>
      <c r="G86" s="53">
        <v>0</v>
      </c>
      <c r="H86" s="53">
        <v>3196529.9730000002</v>
      </c>
      <c r="I86" s="53">
        <v>0</v>
      </c>
      <c r="J86" s="47">
        <f t="shared" si="22"/>
        <v>5714051.3330000006</v>
      </c>
      <c r="K86" s="101"/>
      <c r="L86" s="46"/>
      <c r="M86" s="46"/>
      <c r="N86" s="46"/>
      <c r="O86" s="101"/>
      <c r="P86" s="58" t="str">
        <f ca="1">DFIE!$B$53</f>
        <v>Waadt</v>
      </c>
      <c r="Q86" s="95">
        <f t="shared" si="23"/>
        <v>787945.16615199996</v>
      </c>
      <c r="R86" s="95">
        <f t="shared" si="24"/>
        <v>160356.23636700003</v>
      </c>
      <c r="S86" s="95">
        <f t="shared" si="25"/>
        <v>0</v>
      </c>
      <c r="T86" s="95">
        <f t="shared" si="26"/>
        <v>66.396699288256215</v>
      </c>
      <c r="U86" s="95">
        <f t="shared" si="27"/>
        <v>0</v>
      </c>
      <c r="V86" s="95">
        <f t="shared" si="28"/>
        <v>383924.86330516014</v>
      </c>
      <c r="W86" s="95">
        <f t="shared" si="29"/>
        <v>0</v>
      </c>
      <c r="X86" s="47">
        <f t="shared" si="30"/>
        <v>1332292.6625234485</v>
      </c>
      <c r="Y86" s="584"/>
    </row>
    <row r="87" spans="1:25" x14ac:dyDescent="0.25">
      <c r="A87" s="584"/>
      <c r="B87" s="57" t="str">
        <f ca="1">DFIE!$B$54</f>
        <v>Wallis</v>
      </c>
      <c r="C87" s="54">
        <v>1176455.2479999999</v>
      </c>
      <c r="D87" s="54">
        <v>44637.985999999997</v>
      </c>
      <c r="E87" s="54">
        <v>0</v>
      </c>
      <c r="F87" s="54">
        <v>0</v>
      </c>
      <c r="G87" s="54">
        <v>0</v>
      </c>
      <c r="H87" s="54">
        <v>116460.518</v>
      </c>
      <c r="I87" s="54">
        <v>106026.306</v>
      </c>
      <c r="J87" s="48">
        <f t="shared" si="22"/>
        <v>1443580.058</v>
      </c>
      <c r="K87" s="101"/>
      <c r="L87" s="46"/>
      <c r="M87" s="46"/>
      <c r="N87" s="46"/>
      <c r="O87" s="101"/>
      <c r="P87" s="57" t="str">
        <f ca="1">DFIE!$B$54</f>
        <v>Wallis</v>
      </c>
      <c r="Q87" s="96">
        <f t="shared" si="23"/>
        <v>468229.18870399997</v>
      </c>
      <c r="R87" s="96">
        <f t="shared" si="24"/>
        <v>13324.438821</v>
      </c>
      <c r="S87" s="96">
        <f t="shared" si="25"/>
        <v>0</v>
      </c>
      <c r="T87" s="96">
        <f t="shared" si="26"/>
        <v>0</v>
      </c>
      <c r="U87" s="96">
        <f t="shared" si="27"/>
        <v>0</v>
      </c>
      <c r="V87" s="96">
        <f t="shared" si="28"/>
        <v>13987.695667259784</v>
      </c>
      <c r="W87" s="96">
        <f t="shared" si="29"/>
        <v>18989.311404600001</v>
      </c>
      <c r="X87" s="48">
        <f t="shared" si="30"/>
        <v>514530.63459685975</v>
      </c>
      <c r="Y87" s="584"/>
    </row>
    <row r="88" spans="1:25" x14ac:dyDescent="0.25">
      <c r="A88" s="584"/>
      <c r="B88" s="58" t="str">
        <f ca="1">DFIE!$B$55</f>
        <v>Neuenburg</v>
      </c>
      <c r="C88" s="53">
        <v>179655.26699999999</v>
      </c>
      <c r="D88" s="53">
        <v>126034.827</v>
      </c>
      <c r="E88" s="53">
        <v>0</v>
      </c>
      <c r="F88" s="53">
        <v>551.75400000000002</v>
      </c>
      <c r="G88" s="53">
        <v>0</v>
      </c>
      <c r="H88" s="53">
        <v>1189193.9909999999</v>
      </c>
      <c r="I88" s="53">
        <v>0</v>
      </c>
      <c r="J88" s="47">
        <f t="shared" si="22"/>
        <v>1495435.8389999999</v>
      </c>
      <c r="K88" s="101"/>
      <c r="L88" s="46"/>
      <c r="M88" s="46"/>
      <c r="N88" s="46"/>
      <c r="O88" s="101"/>
      <c r="P88" s="58" t="str">
        <f ca="1">DFIE!$B$55</f>
        <v>Neuenburg</v>
      </c>
      <c r="Q88" s="95">
        <f t="shared" si="23"/>
        <v>71502.796266000005</v>
      </c>
      <c r="R88" s="95">
        <f t="shared" si="24"/>
        <v>37621.3958595</v>
      </c>
      <c r="S88" s="95">
        <f t="shared" si="25"/>
        <v>0</v>
      </c>
      <c r="T88" s="95">
        <f t="shared" si="26"/>
        <v>66.26938612099643</v>
      </c>
      <c r="U88" s="95">
        <f t="shared" si="27"/>
        <v>0</v>
      </c>
      <c r="V88" s="95">
        <f t="shared" si="28"/>
        <v>142830.23913256224</v>
      </c>
      <c r="W88" s="95">
        <f t="shared" si="29"/>
        <v>0</v>
      </c>
      <c r="X88" s="47">
        <f t="shared" si="30"/>
        <v>252020.70064418326</v>
      </c>
      <c r="Y88" s="584"/>
    </row>
    <row r="89" spans="1:25" x14ac:dyDescent="0.25">
      <c r="A89" s="584"/>
      <c r="B89" s="57" t="str">
        <f ca="1">DFIE!$B$56</f>
        <v>Genf</v>
      </c>
      <c r="C89" s="54">
        <v>1338254.77</v>
      </c>
      <c r="D89" s="54">
        <v>943980.37600000005</v>
      </c>
      <c r="E89" s="54">
        <v>3707.2060000000001</v>
      </c>
      <c r="F89" s="54">
        <v>0</v>
      </c>
      <c r="G89" s="54">
        <v>10251245.588</v>
      </c>
      <c r="H89" s="54">
        <v>0</v>
      </c>
      <c r="I89" s="54">
        <v>0</v>
      </c>
      <c r="J89" s="48">
        <f t="shared" si="22"/>
        <v>12537187.939999999</v>
      </c>
      <c r="K89" s="101"/>
      <c r="L89" s="46"/>
      <c r="M89" s="46"/>
      <c r="N89" s="46"/>
      <c r="O89" s="101"/>
      <c r="P89" s="57" t="str">
        <f ca="1">DFIE!$B$56</f>
        <v>Genf</v>
      </c>
      <c r="Q89" s="96">
        <f t="shared" si="23"/>
        <v>532625.39846000005</v>
      </c>
      <c r="R89" s="96">
        <f t="shared" si="24"/>
        <v>281778.14223600004</v>
      </c>
      <c r="S89" s="96">
        <f t="shared" si="25"/>
        <v>968.2758671250001</v>
      </c>
      <c r="T89" s="96">
        <f t="shared" si="26"/>
        <v>0</v>
      </c>
      <c r="U89" s="96">
        <f t="shared" si="27"/>
        <v>2102362.6561140856</v>
      </c>
      <c r="V89" s="96">
        <f t="shared" si="28"/>
        <v>0</v>
      </c>
      <c r="W89" s="96">
        <f t="shared" si="29"/>
        <v>0</v>
      </c>
      <c r="X89" s="48">
        <f t="shared" si="30"/>
        <v>2917734.4726772108</v>
      </c>
      <c r="Y89" s="584"/>
    </row>
    <row r="90" spans="1:25" x14ac:dyDescent="0.25">
      <c r="A90" s="584"/>
      <c r="B90" s="58" t="str">
        <f ca="1">DFIE!$B$57</f>
        <v>Jura</v>
      </c>
      <c r="C90" s="53">
        <v>60556.065999999999</v>
      </c>
      <c r="D90" s="53">
        <v>16940.958999999999</v>
      </c>
      <c r="E90" s="53">
        <v>0</v>
      </c>
      <c r="F90" s="53">
        <v>891.82</v>
      </c>
      <c r="G90" s="53">
        <v>0</v>
      </c>
      <c r="H90" s="53">
        <v>799411.87899999996</v>
      </c>
      <c r="I90" s="53">
        <v>0</v>
      </c>
      <c r="J90" s="47">
        <f t="shared" si="22"/>
        <v>877800.72399999993</v>
      </c>
      <c r="K90" s="101"/>
      <c r="L90" s="46"/>
      <c r="M90" s="46"/>
      <c r="N90" s="46"/>
      <c r="O90" s="101"/>
      <c r="P90" s="58" t="str">
        <f ca="1">DFIE!$B$57</f>
        <v>Jura</v>
      </c>
      <c r="Q90" s="95">
        <f t="shared" si="23"/>
        <v>24101.314268000002</v>
      </c>
      <c r="R90" s="95">
        <f t="shared" si="24"/>
        <v>5056.8762614999996</v>
      </c>
      <c r="S90" s="95">
        <f t="shared" si="25"/>
        <v>0</v>
      </c>
      <c r="T90" s="95">
        <f t="shared" si="26"/>
        <v>107.11361209964412</v>
      </c>
      <c r="U90" s="95">
        <f t="shared" si="27"/>
        <v>0</v>
      </c>
      <c r="V90" s="95">
        <f t="shared" si="28"/>
        <v>96014.771943950167</v>
      </c>
      <c r="W90" s="95">
        <f t="shared" si="29"/>
        <v>0</v>
      </c>
      <c r="X90" s="47">
        <f t="shared" si="30"/>
        <v>125280.07608554981</v>
      </c>
      <c r="Y90" s="584"/>
    </row>
    <row r="91" spans="1:25" x14ac:dyDescent="0.25">
      <c r="A91" s="584"/>
      <c r="B91" s="59" t="str">
        <f ca="1">DFIE!$B$58</f>
        <v>Schweiz</v>
      </c>
      <c r="C91" s="55">
        <f t="shared" ref="C91:I91" si="31">SUM(C65:C90)</f>
        <v>21126297.902999997</v>
      </c>
      <c r="D91" s="55">
        <f t="shared" si="31"/>
        <v>5376232.0739999991</v>
      </c>
      <c r="E91" s="55">
        <f t="shared" si="31"/>
        <v>674630.42000000016</v>
      </c>
      <c r="F91" s="55">
        <f t="shared" si="31"/>
        <v>5205682.3739999998</v>
      </c>
      <c r="G91" s="55">
        <f t="shared" si="31"/>
        <v>10251245.588</v>
      </c>
      <c r="H91" s="55">
        <f t="shared" si="31"/>
        <v>8485068.2430000007</v>
      </c>
      <c r="I91" s="55">
        <f t="shared" si="31"/>
        <v>3961742.9019999998</v>
      </c>
      <c r="J91" s="49">
        <f t="shared" si="22"/>
        <v>55080899.504000001</v>
      </c>
      <c r="K91" s="46"/>
      <c r="L91" s="46"/>
      <c r="M91" s="46"/>
      <c r="N91" s="46"/>
      <c r="O91" s="46"/>
      <c r="P91" s="59" t="str">
        <f ca="1">DFIE!$B$58</f>
        <v>Schweiz</v>
      </c>
      <c r="Q91" s="55">
        <f t="shared" ref="Q91:W91" si="32">SUM(Q65:Q90)</f>
        <v>8408266.5653939992</v>
      </c>
      <c r="R91" s="55">
        <f t="shared" si="32"/>
        <v>1604805.274089</v>
      </c>
      <c r="S91" s="55">
        <f t="shared" si="32"/>
        <v>176205.03282374999</v>
      </c>
      <c r="T91" s="55">
        <f t="shared" si="32"/>
        <v>625237.65168149467</v>
      </c>
      <c r="U91" s="55">
        <f t="shared" si="32"/>
        <v>2102362.6561140856</v>
      </c>
      <c r="V91" s="55">
        <f t="shared" si="32"/>
        <v>1019114.0683318506</v>
      </c>
      <c r="W91" s="55">
        <f t="shared" si="32"/>
        <v>709548.15374820016</v>
      </c>
      <c r="X91" s="49">
        <f>SUM(X65:X90)</f>
        <v>14645539.40218238</v>
      </c>
      <c r="Y91" s="584"/>
    </row>
  </sheetData>
  <mergeCells count="10">
    <mergeCell ref="X6:X7"/>
    <mergeCell ref="C3:J3"/>
    <mergeCell ref="Q3:X3"/>
    <mergeCell ref="J6:J7"/>
    <mergeCell ref="Y9:Y35"/>
    <mergeCell ref="Y37:Y63"/>
    <mergeCell ref="Y65:Y91"/>
    <mergeCell ref="A9:A35"/>
    <mergeCell ref="A37:A63"/>
    <mergeCell ref="A65:A91"/>
  </mergeCells>
  <conditionalFormatting sqref="C9:I34 C37:I62 C65:I90">
    <cfRule type="expression" dxfId="55" priority="2" stopIfTrue="1">
      <formula>ISBLANK(C9)</formula>
    </cfRule>
  </conditionalFormatting>
  <conditionalFormatting sqref="N10:N11 N13">
    <cfRule type="expression" dxfId="54" priority="5" stopIfTrue="1">
      <formula>ISBLANK(N10)</formula>
    </cfRule>
  </conditionalFormatting>
  <conditionalFormatting sqref="N38:N39 N41">
    <cfRule type="expression" dxfId="53" priority="7" stopIfTrue="1">
      <formula>ISBLANK(N38)</formula>
    </cfRule>
  </conditionalFormatting>
  <conditionalFormatting sqref="N66:N67 N73">
    <cfRule type="expression" dxfId="52" priority="12" stopIfTrue="1">
      <formula>ISBLANK(N66)</formula>
    </cfRule>
  </conditionalFormatting>
  <pageMargins left="0.70866141732283472" right="0.39370078740157483" top="0.9055118110236221" bottom="0.78740157480314965" header="0.51181102362204722" footer="0.51181102362204722"/>
  <pageSetup paperSize="9" scale="59" fitToWidth="2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"/>
  <dimension ref="A1:J71"/>
  <sheetViews>
    <sheetView showGridLines="0" zoomScaleNormal="100" zoomScaleSheetLayoutView="70" workbookViewId="0">
      <pane ySplit="8" topLeftCell="A9" activePane="bottomLeft" state="frozen"/>
      <selection activeCell="J20" sqref="J20"/>
      <selection pane="bottomLeft" activeCell="A50" sqref="A50"/>
    </sheetView>
  </sheetViews>
  <sheetFormatPr baseColWidth="10" defaultRowHeight="13.2" x14ac:dyDescent="0.25"/>
  <cols>
    <col min="1" max="1" width="1.6640625" customWidth="1"/>
    <col min="2" max="2" width="17.33203125" customWidth="1"/>
    <col min="3" max="4" width="16.6640625" customWidth="1"/>
    <col min="5" max="5" width="1.33203125" customWidth="1"/>
    <col min="6" max="7" width="16.6640625" customWidth="1"/>
    <col min="8" max="8" width="1.33203125" customWidth="1"/>
    <col min="9" max="10" width="16.6640625" customWidth="1"/>
  </cols>
  <sheetData>
    <row r="1" spans="1:10" ht="22.5" customHeight="1" x14ac:dyDescent="0.3">
      <c r="B1" s="117" t="str">
        <f ca="1">DFIE!$B$134</f>
        <v>Vermögen natürlicher Personen 2026</v>
      </c>
    </row>
    <row r="2" spans="1:10" ht="12.75" customHeight="1" x14ac:dyDescent="0.25"/>
    <row r="3" spans="1:10" ht="20.25" customHeight="1" x14ac:dyDescent="0.25">
      <c r="C3" s="594" t="str">
        <f ca="1">DFIE!$B$73</f>
        <v>Bemessungsjahr 2020</v>
      </c>
      <c r="D3" s="594"/>
      <c r="F3" s="595" t="str">
        <f ca="1">DFIE!$B$74</f>
        <v>Bemessungsjahr 2021</v>
      </c>
      <c r="G3" s="595"/>
      <c r="I3" s="596" t="str">
        <f ca="1">DFIE!$B$75</f>
        <v>Bemessungsjahr 2022</v>
      </c>
      <c r="J3" s="596"/>
    </row>
    <row r="4" spans="1:10" ht="12" customHeight="1" x14ac:dyDescent="0.25">
      <c r="B4" s="67" t="str">
        <f ca="1">DFIE!$B$59</f>
        <v>Spalte</v>
      </c>
      <c r="C4" s="68" t="s">
        <v>30</v>
      </c>
      <c r="D4" s="109" t="s">
        <v>31</v>
      </c>
      <c r="E4" s="110"/>
      <c r="F4" s="111" t="s">
        <v>43</v>
      </c>
      <c r="G4" s="109" t="s">
        <v>42</v>
      </c>
      <c r="H4" s="110"/>
      <c r="I4" s="111" t="s">
        <v>34</v>
      </c>
      <c r="J4" s="109" t="s">
        <v>35</v>
      </c>
    </row>
    <row r="5" spans="1:10" ht="12" customHeight="1" x14ac:dyDescent="0.25">
      <c r="B5" s="67" t="str">
        <f ca="1">DFIE!$B$60</f>
        <v>Formel</v>
      </c>
      <c r="C5" s="68"/>
      <c r="D5" s="112" t="str">
        <f ca="1">"C * " &amp;DFIE!$B$137</f>
        <v>C * Alpha</v>
      </c>
      <c r="E5" s="110"/>
      <c r="F5" s="111"/>
      <c r="G5" s="112" t="str">
        <f ca="1">"F * " &amp;DFIE!$B$137</f>
        <v>F * Alpha</v>
      </c>
      <c r="H5" s="110"/>
      <c r="I5" s="111"/>
      <c r="J5" s="112" t="str">
        <f ca="1">"I * " &amp;DFIE!$B$137</f>
        <v>I * Alpha</v>
      </c>
    </row>
    <row r="6" spans="1:10" ht="12" customHeight="1" x14ac:dyDescent="0.25">
      <c r="B6" s="67" t="str">
        <f ca="1">DFIE!$B$138</f>
        <v>Alpha</v>
      </c>
      <c r="C6" s="68"/>
      <c r="D6" s="120">
        <v>1.4999999999999999E-2</v>
      </c>
      <c r="E6" s="110"/>
      <c r="F6" s="111"/>
      <c r="G6" s="120">
        <v>1.4999999999999999E-2</v>
      </c>
      <c r="H6" s="110"/>
      <c r="I6" s="111"/>
      <c r="J6" s="121">
        <f>ALPHA!$L$26</f>
        <v>1.4999999999999999E-2</v>
      </c>
    </row>
    <row r="7" spans="1:10" ht="33.75" customHeight="1" x14ac:dyDescent="0.25">
      <c r="B7" s="118"/>
      <c r="C7" s="105" t="str">
        <f ca="1">DFIE!$B$135</f>
        <v>Reinvermögen</v>
      </c>
      <c r="D7" s="131" t="str">
        <f ca="1">DFIE!$B$136</f>
        <v>Massgebendes
Vermögen</v>
      </c>
      <c r="F7" s="128" t="str">
        <f ca="1">DFIE!$B$135</f>
        <v>Reinvermögen</v>
      </c>
      <c r="G7" s="131" t="str">
        <f ca="1">DFIE!$B$136</f>
        <v>Massgebendes
Vermögen</v>
      </c>
      <c r="I7" s="128" t="str">
        <f ca="1">DFIE!$B$135</f>
        <v>Reinvermögen</v>
      </c>
      <c r="J7" s="131" t="str">
        <f ca="1">DFIE!$B$136</f>
        <v>Massgebendes
Vermögen</v>
      </c>
    </row>
    <row r="8" spans="1:10" x14ac:dyDescent="0.25">
      <c r="A8" s="1"/>
      <c r="B8" s="76" t="str">
        <f ca="1">DFIE!$B$62</f>
        <v>Einheit</v>
      </c>
      <c r="C8" s="35" t="str">
        <f ca="1">DFIE!$B$64</f>
        <v>CHF 1'000</v>
      </c>
      <c r="D8" s="113" t="str">
        <f ca="1">DFIE!$B$64</f>
        <v>CHF 1'000</v>
      </c>
      <c r="E8" s="110"/>
      <c r="F8" s="114" t="str">
        <f ca="1">DFIE!$B$64</f>
        <v>CHF 1'000</v>
      </c>
      <c r="G8" s="113" t="str">
        <f ca="1">DFIE!$B$64</f>
        <v>CHF 1'000</v>
      </c>
      <c r="H8" s="110"/>
      <c r="I8" s="114" t="str">
        <f ca="1">DFIE!$B$64</f>
        <v>CHF 1'000</v>
      </c>
      <c r="J8" s="113" t="str">
        <f ca="1">DFIE!$B$64</f>
        <v>CHF 1'000</v>
      </c>
    </row>
    <row r="9" spans="1:10" ht="12.75" customHeight="1" x14ac:dyDescent="0.25">
      <c r="A9" s="34"/>
      <c r="B9" s="31" t="str">
        <f ca="1">DFIE!$B$32</f>
        <v>Zürich</v>
      </c>
      <c r="C9" s="51">
        <v>477779260</v>
      </c>
      <c r="D9" s="130">
        <f>C9*$D$6</f>
        <v>7166688.8999999994</v>
      </c>
      <c r="E9" s="79"/>
      <c r="F9" s="127">
        <v>514807998</v>
      </c>
      <c r="G9" s="130">
        <f>F9*$G$6</f>
        <v>7722119.9699999997</v>
      </c>
      <c r="H9" s="79"/>
      <c r="I9" s="127">
        <v>503671108</v>
      </c>
      <c r="J9" s="130">
        <f>I9*$J$6</f>
        <v>7555066.6200000001</v>
      </c>
    </row>
    <row r="10" spans="1:10" ht="12.75" customHeight="1" x14ac:dyDescent="0.25">
      <c r="B10" s="16" t="str">
        <f ca="1">DFIE!$B$33</f>
        <v>Bern</v>
      </c>
      <c r="C10" s="53">
        <v>221808357.38100001</v>
      </c>
      <c r="D10" s="123">
        <f t="shared" ref="D10:D34" si="0">C10*$D$6</f>
        <v>3327125.360715</v>
      </c>
      <c r="E10" s="79"/>
      <c r="F10" s="126">
        <v>236233047.722</v>
      </c>
      <c r="G10" s="123">
        <f t="shared" ref="G10:G34" si="1">F10*$G$6</f>
        <v>3543495.7158300001</v>
      </c>
      <c r="H10" s="79"/>
      <c r="I10" s="126">
        <v>234228560.35800001</v>
      </c>
      <c r="J10" s="123">
        <f t="shared" ref="J10:J34" si="2">I10*$J$6</f>
        <v>3513428.4053699998</v>
      </c>
    </row>
    <row r="11" spans="1:10" ht="12.75" customHeight="1" x14ac:dyDescent="0.25">
      <c r="B11" s="15" t="str">
        <f ca="1">DFIE!$B$34</f>
        <v>Luzern</v>
      </c>
      <c r="C11" s="54">
        <v>111553796.796</v>
      </c>
      <c r="D11" s="122">
        <f t="shared" si="0"/>
        <v>1673306.9519400001</v>
      </c>
      <c r="E11" s="79"/>
      <c r="F11" s="125">
        <v>117383491.851</v>
      </c>
      <c r="G11" s="122">
        <f t="shared" si="1"/>
        <v>1760752.3777649999</v>
      </c>
      <c r="H11" s="79"/>
      <c r="I11" s="125">
        <v>113924789.64399999</v>
      </c>
      <c r="J11" s="122">
        <f t="shared" si="2"/>
        <v>1708871.8446599999</v>
      </c>
    </row>
    <row r="12" spans="1:10" ht="12.75" customHeight="1" x14ac:dyDescent="0.25">
      <c r="B12" s="16" t="str">
        <f ca="1">DFIE!$B$35</f>
        <v>Uri</v>
      </c>
      <c r="C12" s="53">
        <v>8304615.7790000001</v>
      </c>
      <c r="D12" s="123">
        <f t="shared" si="0"/>
        <v>124569.236685</v>
      </c>
      <c r="E12" s="79"/>
      <c r="F12" s="126">
        <v>8705867.4700000007</v>
      </c>
      <c r="G12" s="123">
        <f t="shared" si="1"/>
        <v>130588.01205</v>
      </c>
      <c r="H12" s="79"/>
      <c r="I12" s="126">
        <v>8698286.8739999998</v>
      </c>
      <c r="J12" s="123">
        <f t="shared" si="2"/>
        <v>130474.30310999999</v>
      </c>
    </row>
    <row r="13" spans="1:10" ht="12.75" customHeight="1" x14ac:dyDescent="0.25">
      <c r="B13" s="15" t="str">
        <f ca="1">DFIE!$B$36</f>
        <v>Schwyz</v>
      </c>
      <c r="C13" s="54">
        <v>142289649.77500001</v>
      </c>
      <c r="D13" s="122">
        <f t="shared" si="0"/>
        <v>2134344.7466250001</v>
      </c>
      <c r="E13" s="79"/>
      <c r="F13" s="125">
        <v>158735287.81200001</v>
      </c>
      <c r="G13" s="122">
        <f t="shared" si="1"/>
        <v>2381029.3171799998</v>
      </c>
      <c r="H13" s="79"/>
      <c r="I13" s="125">
        <v>151645467.972</v>
      </c>
      <c r="J13" s="122">
        <f t="shared" si="2"/>
        <v>2274682.0195800001</v>
      </c>
    </row>
    <row r="14" spans="1:10" ht="12.75" customHeight="1" x14ac:dyDescent="0.25">
      <c r="B14" s="16" t="str">
        <f ca="1">DFIE!$B$37</f>
        <v>Obwalden</v>
      </c>
      <c r="C14" s="53">
        <v>16594250.551000001</v>
      </c>
      <c r="D14" s="123">
        <f t="shared" si="0"/>
        <v>248913.75826500001</v>
      </c>
      <c r="E14" s="79"/>
      <c r="F14" s="126">
        <v>17735837.294</v>
      </c>
      <c r="G14" s="123">
        <f t="shared" si="1"/>
        <v>266037.55940999999</v>
      </c>
      <c r="H14" s="79"/>
      <c r="I14" s="126">
        <v>18333674.649999999</v>
      </c>
      <c r="J14" s="123">
        <f t="shared" si="2"/>
        <v>275005.11974999995</v>
      </c>
    </row>
    <row r="15" spans="1:10" ht="12.75" customHeight="1" x14ac:dyDescent="0.25">
      <c r="B15" s="15" t="str">
        <f ca="1">DFIE!$B$38</f>
        <v>Nidwalden</v>
      </c>
      <c r="C15" s="54">
        <v>40741987.189000003</v>
      </c>
      <c r="D15" s="122">
        <f t="shared" si="0"/>
        <v>611129.80783499999</v>
      </c>
      <c r="E15" s="79"/>
      <c r="F15" s="125">
        <v>44482431.612999998</v>
      </c>
      <c r="G15" s="122">
        <f t="shared" si="1"/>
        <v>667236.4741949999</v>
      </c>
      <c r="H15" s="79"/>
      <c r="I15" s="125">
        <v>43710402.862000003</v>
      </c>
      <c r="J15" s="122">
        <f t="shared" si="2"/>
        <v>655656.04293</v>
      </c>
    </row>
    <row r="16" spans="1:10" ht="12.75" customHeight="1" x14ac:dyDescent="0.25">
      <c r="B16" s="16" t="str">
        <f ca="1">DFIE!$B$39</f>
        <v>Glarus</v>
      </c>
      <c r="C16" s="53">
        <v>8603092.9739999995</v>
      </c>
      <c r="D16" s="123">
        <f t="shared" si="0"/>
        <v>129046.39460999999</v>
      </c>
      <c r="E16" s="79"/>
      <c r="F16" s="126">
        <v>9028823.0449999999</v>
      </c>
      <c r="G16" s="123">
        <f t="shared" si="1"/>
        <v>135432.34567499999</v>
      </c>
      <c r="H16" s="79"/>
      <c r="I16" s="126">
        <v>8984138.7990000006</v>
      </c>
      <c r="J16" s="123">
        <f t="shared" si="2"/>
        <v>134762.081985</v>
      </c>
    </row>
    <row r="17" spans="2:10" ht="12.75" customHeight="1" x14ac:dyDescent="0.25">
      <c r="B17" s="15" t="str">
        <f ca="1">DFIE!$B$40</f>
        <v>Zug</v>
      </c>
      <c r="C17" s="54">
        <v>89886807.613000005</v>
      </c>
      <c r="D17" s="122">
        <f t="shared" si="0"/>
        <v>1348302.1141950001</v>
      </c>
      <c r="E17" s="79"/>
      <c r="F17" s="125">
        <v>103048778.48999999</v>
      </c>
      <c r="G17" s="122">
        <f t="shared" si="1"/>
        <v>1545731.6773499998</v>
      </c>
      <c r="H17" s="79"/>
      <c r="I17" s="125">
        <v>93756678.298999995</v>
      </c>
      <c r="J17" s="122">
        <f t="shared" si="2"/>
        <v>1406350.1744849999</v>
      </c>
    </row>
    <row r="18" spans="2:10" ht="12.75" customHeight="1" x14ac:dyDescent="0.25">
      <c r="B18" s="16" t="str">
        <f ca="1">DFIE!$B$41</f>
        <v>Freiburg</v>
      </c>
      <c r="C18" s="53">
        <v>35887574.824000001</v>
      </c>
      <c r="D18" s="123">
        <f t="shared" si="0"/>
        <v>538313.62236000004</v>
      </c>
      <c r="E18" s="79"/>
      <c r="F18" s="126">
        <v>37390636.086999997</v>
      </c>
      <c r="G18" s="123">
        <f t="shared" si="1"/>
        <v>560859.54130499996</v>
      </c>
      <c r="H18" s="79"/>
      <c r="I18" s="126">
        <v>37514783.060000002</v>
      </c>
      <c r="J18" s="123">
        <f t="shared" si="2"/>
        <v>562721.74589999998</v>
      </c>
    </row>
    <row r="19" spans="2:10" ht="12.75" customHeight="1" x14ac:dyDescent="0.25">
      <c r="B19" s="15" t="str">
        <f ca="1">DFIE!$B$42</f>
        <v>Solothurn</v>
      </c>
      <c r="C19" s="54">
        <v>31973131.587000001</v>
      </c>
      <c r="D19" s="122">
        <f t="shared" si="0"/>
        <v>479596.97380500002</v>
      </c>
      <c r="E19" s="79"/>
      <c r="F19" s="125">
        <v>34558745.339000002</v>
      </c>
      <c r="G19" s="122">
        <f t="shared" si="1"/>
        <v>518381.180085</v>
      </c>
      <c r="H19" s="79"/>
      <c r="I19" s="125">
        <v>33283641.574000001</v>
      </c>
      <c r="J19" s="122">
        <f t="shared" si="2"/>
        <v>499254.62361000001</v>
      </c>
    </row>
    <row r="20" spans="2:10" ht="12.75" customHeight="1" x14ac:dyDescent="0.25">
      <c r="B20" s="16" t="str">
        <f ca="1">DFIE!$B$43</f>
        <v>Basel-Stadt</v>
      </c>
      <c r="C20" s="53">
        <v>70627532.128999993</v>
      </c>
      <c r="D20" s="123">
        <f t="shared" si="0"/>
        <v>1059412.9819349998</v>
      </c>
      <c r="E20" s="79"/>
      <c r="F20" s="126">
        <v>80593715.680000007</v>
      </c>
      <c r="G20" s="123">
        <f t="shared" si="1"/>
        <v>1208905.7352</v>
      </c>
      <c r="H20" s="79"/>
      <c r="I20" s="126">
        <v>69758846.725999996</v>
      </c>
      <c r="J20" s="123">
        <f t="shared" si="2"/>
        <v>1046382.7008899999</v>
      </c>
    </row>
    <row r="21" spans="2:10" ht="12.75" customHeight="1" x14ac:dyDescent="0.25">
      <c r="B21" s="15" t="str">
        <f ca="1">DFIE!$B$44</f>
        <v>Basel-Landschaft</v>
      </c>
      <c r="C21" s="54">
        <v>49763279.446000002</v>
      </c>
      <c r="D21" s="122">
        <f t="shared" si="0"/>
        <v>746449.19169000001</v>
      </c>
      <c r="E21" s="79"/>
      <c r="F21" s="125">
        <v>52499692.343000002</v>
      </c>
      <c r="G21" s="122">
        <f t="shared" si="1"/>
        <v>787495.38514499995</v>
      </c>
      <c r="H21" s="79"/>
      <c r="I21" s="125">
        <v>50721588.572999999</v>
      </c>
      <c r="J21" s="122">
        <f t="shared" si="2"/>
        <v>760823.82859499997</v>
      </c>
    </row>
    <row r="22" spans="2:10" ht="12.75" customHeight="1" x14ac:dyDescent="0.25">
      <c r="B22" s="16" t="str">
        <f ca="1">DFIE!$B$45</f>
        <v>Schaffhausen</v>
      </c>
      <c r="C22" s="53">
        <v>16749690.476</v>
      </c>
      <c r="D22" s="123">
        <f t="shared" si="0"/>
        <v>251245.35713999998</v>
      </c>
      <c r="E22" s="79"/>
      <c r="F22" s="126">
        <v>17321481.131999999</v>
      </c>
      <c r="G22" s="123">
        <f t="shared" si="1"/>
        <v>259822.21697999997</v>
      </c>
      <c r="H22" s="79"/>
      <c r="I22" s="126">
        <v>16619449.925000001</v>
      </c>
      <c r="J22" s="123">
        <f t="shared" si="2"/>
        <v>249291.74887499999</v>
      </c>
    </row>
    <row r="23" spans="2:10" ht="12.75" customHeight="1" x14ac:dyDescent="0.25">
      <c r="B23" s="15" t="str">
        <f ca="1">DFIE!$B$46</f>
        <v>Appenzell A.Rh.</v>
      </c>
      <c r="C23" s="54">
        <v>17617564.543000001</v>
      </c>
      <c r="D23" s="122">
        <f t="shared" si="0"/>
        <v>264263.46814499999</v>
      </c>
      <c r="E23" s="79"/>
      <c r="F23" s="125">
        <v>19202263.298999999</v>
      </c>
      <c r="G23" s="122">
        <f t="shared" si="1"/>
        <v>288033.94948499999</v>
      </c>
      <c r="H23" s="79"/>
      <c r="I23" s="125">
        <v>18629838.782000002</v>
      </c>
      <c r="J23" s="122">
        <f t="shared" si="2"/>
        <v>279447.58173000003</v>
      </c>
    </row>
    <row r="24" spans="2:10" ht="12.75" customHeight="1" x14ac:dyDescent="0.25">
      <c r="B24" s="16" t="str">
        <f ca="1">DFIE!$B$47</f>
        <v>Appenzell I.Rh.</v>
      </c>
      <c r="C24" s="53">
        <v>7256149.477</v>
      </c>
      <c r="D24" s="123">
        <f t="shared" si="0"/>
        <v>108842.242155</v>
      </c>
      <c r="E24" s="79"/>
      <c r="F24" s="126">
        <v>7658148.2750000004</v>
      </c>
      <c r="G24" s="123">
        <f t="shared" si="1"/>
        <v>114872.22412500001</v>
      </c>
      <c r="H24" s="79"/>
      <c r="I24" s="126">
        <v>7961447.023</v>
      </c>
      <c r="J24" s="123">
        <f t="shared" si="2"/>
        <v>119421.70534499999</v>
      </c>
    </row>
    <row r="25" spans="2:10" ht="12.75" customHeight="1" x14ac:dyDescent="0.25">
      <c r="B25" s="15" t="str">
        <f ca="1">DFIE!$B$48</f>
        <v>St. Gallen</v>
      </c>
      <c r="C25" s="54">
        <v>129977504.802</v>
      </c>
      <c r="D25" s="122">
        <f t="shared" si="0"/>
        <v>1949662.5720299999</v>
      </c>
      <c r="E25" s="79"/>
      <c r="F25" s="125">
        <v>137975686.25400001</v>
      </c>
      <c r="G25" s="122">
        <f t="shared" si="1"/>
        <v>2069635.2938099999</v>
      </c>
      <c r="H25" s="79"/>
      <c r="I25" s="125">
        <v>138521034.035</v>
      </c>
      <c r="J25" s="122">
        <f t="shared" si="2"/>
        <v>2077815.5105249998</v>
      </c>
    </row>
    <row r="26" spans="2:10" ht="12.75" customHeight="1" x14ac:dyDescent="0.25">
      <c r="B26" s="16" t="str">
        <f ca="1">DFIE!$B$49</f>
        <v>Graubünden</v>
      </c>
      <c r="C26" s="53">
        <v>73775480.699000001</v>
      </c>
      <c r="D26" s="123">
        <f t="shared" si="0"/>
        <v>1106632.2104849999</v>
      </c>
      <c r="E26" s="79"/>
      <c r="F26" s="126">
        <v>85101154.616999999</v>
      </c>
      <c r="G26" s="123">
        <f t="shared" si="1"/>
        <v>1276517.319255</v>
      </c>
      <c r="H26" s="79"/>
      <c r="I26" s="126">
        <v>86022140.163000003</v>
      </c>
      <c r="J26" s="123">
        <f t="shared" si="2"/>
        <v>1290332.1024450001</v>
      </c>
    </row>
    <row r="27" spans="2:10" ht="12.75" customHeight="1" x14ac:dyDescent="0.25">
      <c r="B27" s="15" t="str">
        <f ca="1">DFIE!$B$50</f>
        <v>Aargau</v>
      </c>
      <c r="C27" s="54">
        <v>138018189.80599999</v>
      </c>
      <c r="D27" s="122">
        <f t="shared" si="0"/>
        <v>2070272.8470899998</v>
      </c>
      <c r="E27" s="79"/>
      <c r="F27" s="125">
        <v>144822077.345</v>
      </c>
      <c r="G27" s="122">
        <f t="shared" si="1"/>
        <v>2172331.1601749999</v>
      </c>
      <c r="H27" s="79"/>
      <c r="I27" s="125">
        <v>142341196.514</v>
      </c>
      <c r="J27" s="122">
        <f t="shared" si="2"/>
        <v>2135117.94771</v>
      </c>
    </row>
    <row r="28" spans="2:10" ht="12.75" customHeight="1" x14ac:dyDescent="0.25">
      <c r="B28" s="16" t="str">
        <f ca="1">DFIE!$B$51</f>
        <v>Thurgau</v>
      </c>
      <c r="C28" s="53">
        <v>69346072.700000003</v>
      </c>
      <c r="D28" s="123">
        <f t="shared" si="0"/>
        <v>1040191.0905</v>
      </c>
      <c r="E28" s="79"/>
      <c r="F28" s="126">
        <v>74329467.799999997</v>
      </c>
      <c r="G28" s="123">
        <f t="shared" si="1"/>
        <v>1114942.017</v>
      </c>
      <c r="H28" s="79"/>
      <c r="I28" s="126">
        <v>71837214.599999994</v>
      </c>
      <c r="J28" s="123">
        <f t="shared" si="2"/>
        <v>1077558.2189999998</v>
      </c>
    </row>
    <row r="29" spans="2:10" ht="12.75" customHeight="1" x14ac:dyDescent="0.25">
      <c r="B29" s="15" t="str">
        <f ca="1">DFIE!$B$52</f>
        <v>Tessin</v>
      </c>
      <c r="C29" s="54">
        <v>83003707.877000004</v>
      </c>
      <c r="D29" s="122">
        <f t="shared" si="0"/>
        <v>1245055.618155</v>
      </c>
      <c r="E29" s="79"/>
      <c r="F29" s="125">
        <v>87688851</v>
      </c>
      <c r="G29" s="122">
        <f t="shared" si="1"/>
        <v>1315332.7649999999</v>
      </c>
      <c r="H29" s="79"/>
      <c r="I29" s="125">
        <v>88084903</v>
      </c>
      <c r="J29" s="122">
        <f t="shared" si="2"/>
        <v>1321273.5449999999</v>
      </c>
    </row>
    <row r="30" spans="2:10" ht="12.75" customHeight="1" x14ac:dyDescent="0.25">
      <c r="B30" s="16" t="str">
        <f ca="1">DFIE!$B$53</f>
        <v>Waadt</v>
      </c>
      <c r="C30" s="53">
        <v>162207188</v>
      </c>
      <c r="D30" s="123">
        <f t="shared" si="0"/>
        <v>2433107.8199999998</v>
      </c>
      <c r="E30" s="79"/>
      <c r="F30" s="126">
        <v>174308290.61700001</v>
      </c>
      <c r="G30" s="123">
        <f t="shared" si="1"/>
        <v>2614624.359255</v>
      </c>
      <c r="H30" s="79"/>
      <c r="I30" s="126">
        <v>173280694.48500001</v>
      </c>
      <c r="J30" s="123">
        <f t="shared" si="2"/>
        <v>2599210.4172749999</v>
      </c>
    </row>
    <row r="31" spans="2:10" ht="12.75" customHeight="1" x14ac:dyDescent="0.25">
      <c r="B31" s="15" t="str">
        <f ca="1">DFIE!$B$54</f>
        <v>Wallis</v>
      </c>
      <c r="C31" s="54">
        <v>62976805.037</v>
      </c>
      <c r="D31" s="122">
        <f t="shared" si="0"/>
        <v>944652.07555499999</v>
      </c>
      <c r="E31" s="79"/>
      <c r="F31" s="125">
        <v>70366475.834999993</v>
      </c>
      <c r="G31" s="122">
        <f t="shared" si="1"/>
        <v>1055497.1375249999</v>
      </c>
      <c r="H31" s="79"/>
      <c r="I31" s="125">
        <v>68330290.702000007</v>
      </c>
      <c r="J31" s="122">
        <f t="shared" si="2"/>
        <v>1024954.3605300001</v>
      </c>
    </row>
    <row r="32" spans="2:10" ht="12.75" customHeight="1" x14ac:dyDescent="0.25">
      <c r="B32" s="16" t="str">
        <f ca="1">DFIE!$B$55</f>
        <v>Neuenburg</v>
      </c>
      <c r="C32" s="53">
        <v>20997272.456</v>
      </c>
      <c r="D32" s="123">
        <f t="shared" si="0"/>
        <v>314959.08684</v>
      </c>
      <c r="E32" s="79"/>
      <c r="F32" s="126">
        <v>22040855.857000001</v>
      </c>
      <c r="G32" s="123">
        <f t="shared" si="1"/>
        <v>330612.83785499999</v>
      </c>
      <c r="H32" s="79"/>
      <c r="I32" s="126">
        <v>21434202.359999999</v>
      </c>
      <c r="J32" s="123">
        <f t="shared" si="2"/>
        <v>321513.03539999999</v>
      </c>
    </row>
    <row r="33" spans="1:10" ht="12.75" customHeight="1" x14ac:dyDescent="0.25">
      <c r="B33" s="15" t="str">
        <f ca="1">DFIE!$B$56</f>
        <v>Genf</v>
      </c>
      <c r="C33" s="54">
        <v>164455416.243</v>
      </c>
      <c r="D33" s="122">
        <f t="shared" si="0"/>
        <v>2466831.2436449998</v>
      </c>
      <c r="E33" s="79"/>
      <c r="F33" s="125">
        <v>176031024.15799999</v>
      </c>
      <c r="G33" s="122">
        <f t="shared" si="1"/>
        <v>2640465.3623699998</v>
      </c>
      <c r="H33" s="79"/>
      <c r="I33" s="125">
        <v>195313291.71000001</v>
      </c>
      <c r="J33" s="122">
        <f t="shared" si="2"/>
        <v>2929699.3756499998</v>
      </c>
    </row>
    <row r="34" spans="1:10" ht="12.75" customHeight="1" x14ac:dyDescent="0.25">
      <c r="B34" s="16" t="str">
        <f ca="1">DFIE!$B$57</f>
        <v>Jura</v>
      </c>
      <c r="C34" s="53">
        <v>7947361</v>
      </c>
      <c r="D34" s="123">
        <f t="shared" si="0"/>
        <v>119210.41499999999</v>
      </c>
      <c r="E34" s="79"/>
      <c r="F34" s="126">
        <v>8448402</v>
      </c>
      <c r="G34" s="123">
        <f t="shared" si="1"/>
        <v>126726.03</v>
      </c>
      <c r="H34" s="79"/>
      <c r="I34" s="126">
        <v>8530466</v>
      </c>
      <c r="J34" s="123">
        <f t="shared" si="2"/>
        <v>127956.98999999999</v>
      </c>
    </row>
    <row r="35" spans="1:10" ht="12.75" customHeight="1" x14ac:dyDescent="0.25">
      <c r="A35" s="40"/>
      <c r="B35" s="14" t="str">
        <f ca="1">DFIE!$B$58</f>
        <v>Schweiz</v>
      </c>
      <c r="C35" s="55">
        <f>SUM(C9:C34)</f>
        <v>2260141739.1599998</v>
      </c>
      <c r="D35" s="124">
        <f>SUM(D9:D34)</f>
        <v>33902126.087400004</v>
      </c>
      <c r="E35" s="78"/>
      <c r="F35" s="26">
        <f>SUM(F9:F34)</f>
        <v>2440498530.9349999</v>
      </c>
      <c r="G35" s="124">
        <f>SUM(G9:G34)</f>
        <v>36607477.964024998</v>
      </c>
      <c r="H35" s="78"/>
      <c r="I35" s="26">
        <f>SUM(I9:I34)</f>
        <v>2405138136.6900005</v>
      </c>
      <c r="J35" s="124">
        <f>SUM(J9:J34)</f>
        <v>36077072.050350003</v>
      </c>
    </row>
    <row r="36" spans="1:10" ht="10.5" customHeight="1" x14ac:dyDescent="0.25">
      <c r="B36" s="78"/>
      <c r="C36" s="115"/>
      <c r="D36" s="115"/>
      <c r="E36" s="119"/>
      <c r="F36" s="116"/>
      <c r="G36" s="116"/>
      <c r="I36" s="46"/>
      <c r="J36" s="46"/>
    </row>
    <row r="37" spans="1:10" x14ac:dyDescent="0.25">
      <c r="A37" s="34"/>
      <c r="B37" s="34"/>
      <c r="C37" s="34"/>
      <c r="D37" s="34"/>
      <c r="E37" s="34"/>
      <c r="F37" s="34"/>
      <c r="G37" s="34"/>
      <c r="H37" s="34"/>
      <c r="I37" s="34"/>
      <c r="J37" s="34"/>
    </row>
    <row r="71" spans="2:4" x14ac:dyDescent="0.25">
      <c r="B71" s="78"/>
      <c r="C71" s="129"/>
      <c r="D71" s="129"/>
    </row>
  </sheetData>
  <mergeCells count="3">
    <mergeCell ref="C3:D3"/>
    <mergeCell ref="F3:G3"/>
    <mergeCell ref="I3:J3"/>
  </mergeCells>
  <conditionalFormatting sqref="C9:C34 F9:F34 I9:I34">
    <cfRule type="expression" dxfId="51" priority="13" stopIfTrue="1">
      <formula>ISBLANK(C9)</formula>
    </cfRule>
  </conditionalFormatting>
  <conditionalFormatting sqref="D6 G6">
    <cfRule type="expression" dxfId="50" priority="3" stopIfTrue="1">
      <formula>ISBLANK(D6)</formula>
    </cfRule>
  </conditionalFormatting>
  <pageMargins left="0.78740157480314965" right="0.47244094488188981" top="0.9055118110236221" bottom="0.78740157480314965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RowHeight="13.2" x14ac:dyDescent="0.25"/>
  <cols>
    <col min="1" max="1" width="4.44140625" customWidth="1"/>
    <col min="2" max="2" width="17.33203125" customWidth="1"/>
    <col min="3" max="6" width="16" customWidth="1"/>
    <col min="7" max="8" width="16.109375" customWidth="1"/>
    <col min="9" max="9" width="1.44140625" customWidth="1"/>
    <col min="10" max="10" width="3.6640625" customWidth="1"/>
    <col min="11" max="11" width="30.6640625" customWidth="1"/>
  </cols>
  <sheetData>
    <row r="1" spans="1:16" ht="22.5" customHeight="1" x14ac:dyDescent="0.3">
      <c r="B1" s="3" t="str">
        <f ca="1">DFIE!$B$139</f>
        <v>Gewinne juristischer Personen 2026</v>
      </c>
    </row>
    <row r="2" spans="1:16" ht="12" customHeight="1" x14ac:dyDescent="0.25">
      <c r="J2" s="40"/>
      <c r="P2" s="40"/>
    </row>
    <row r="3" spans="1:16" ht="12" customHeight="1" x14ac:dyDescent="0.25">
      <c r="B3" s="67" t="str">
        <f ca="1">DFIE!$B$59</f>
        <v>Spalte</v>
      </c>
      <c r="C3" s="68" t="s">
        <v>30</v>
      </c>
      <c r="D3" s="68" t="s">
        <v>31</v>
      </c>
      <c r="E3" s="68" t="s">
        <v>32</v>
      </c>
      <c r="F3" s="109" t="s">
        <v>43</v>
      </c>
      <c r="G3" s="68" t="s">
        <v>42</v>
      </c>
      <c r="H3" s="69" t="s">
        <v>33</v>
      </c>
      <c r="K3" s="69" t="s">
        <v>496</v>
      </c>
      <c r="L3" s="69" t="s">
        <v>469</v>
      </c>
    </row>
    <row r="4" spans="1:16" ht="12" customHeight="1" x14ac:dyDescent="0.25">
      <c r="B4" s="67" t="str">
        <f ca="1">DFIE!$B$60</f>
        <v>Formel</v>
      </c>
      <c r="C4" s="70"/>
      <c r="D4" s="132" t="s">
        <v>733</v>
      </c>
      <c r="E4" s="70"/>
      <c r="F4" s="112" t="s">
        <v>734</v>
      </c>
      <c r="G4" s="132"/>
      <c r="H4" s="72" t="s">
        <v>722</v>
      </c>
      <c r="I4" s="34"/>
    </row>
    <row r="5" spans="1:16" ht="21" customHeight="1" x14ac:dyDescent="0.25">
      <c r="B5" s="148"/>
      <c r="C5" s="609" t="str">
        <f ca="1">DFIE!$B$140</f>
        <v>Massgebender Gewinn ehemaliger Statusgesellschaften</v>
      </c>
      <c r="D5" s="610"/>
      <c r="E5" s="610"/>
      <c r="F5" s="611"/>
      <c r="G5" s="612" t="str">
        <f ca="1">DFIE!$B$141</f>
        <v xml:space="preserve">Massgebender
Gewinn übriger
Unternehmen
</v>
      </c>
      <c r="H5" s="592" t="str">
        <f ca="1">DFIE!$B$145</f>
        <v>Massgebender
Gewinn
juristischer
Personen</v>
      </c>
      <c r="I5" s="34"/>
      <c r="K5" s="600" t="str">
        <f ca="1">DFIE!$B$148</f>
        <v>Beta-Faktoren
Zeta-Faktoren
Umbuchungsfaktor</v>
      </c>
      <c r="L5" s="601"/>
    </row>
    <row r="6" spans="1:16" ht="21" customHeight="1" x14ac:dyDescent="0.25">
      <c r="B6" s="45"/>
      <c r="C6" s="606" t="str">
        <f ca="1">DFIE!$B$142</f>
        <v xml:space="preserve">        Betagewichtet</v>
      </c>
      <c r="D6" s="607"/>
      <c r="E6" s="607" t="str">
        <f ca="1">DFIE!$B$143</f>
        <v xml:space="preserve">        Zetagewichtet</v>
      </c>
      <c r="F6" s="608"/>
      <c r="G6" s="613"/>
      <c r="H6" s="581"/>
      <c r="K6" s="602"/>
      <c r="L6" s="603"/>
    </row>
    <row r="7" spans="1:16" ht="30" customHeight="1" x14ac:dyDescent="0.25">
      <c r="B7" s="147"/>
      <c r="C7" s="142" t="str">
        <f ca="1">DFIE!$B$146</f>
        <v>vor
Umbuchung</v>
      </c>
      <c r="D7" s="142" t="str">
        <f ca="1">DFIE!$B$147</f>
        <v>nach
Umbuchung</v>
      </c>
      <c r="E7" s="142" t="str">
        <f ca="1">DFIE!$B$146</f>
        <v>vor
Umbuchung</v>
      </c>
      <c r="F7" s="160" t="str">
        <f ca="1">DFIE!$B$147</f>
        <v>nach
Umbuchung</v>
      </c>
      <c r="G7" s="614"/>
      <c r="H7" s="593"/>
      <c r="K7" s="602"/>
      <c r="L7" s="603"/>
    </row>
    <row r="8" spans="1:16" ht="12.75" customHeight="1" x14ac:dyDescent="0.25">
      <c r="B8" s="67" t="str">
        <f ca="1">DFIE!$B$62</f>
        <v>Einheit</v>
      </c>
      <c r="C8" s="35" t="str">
        <f ca="1">DFIE!$B$64</f>
        <v>CHF 1'000</v>
      </c>
      <c r="D8" s="35" t="str">
        <f ca="1">DFIE!$B$64</f>
        <v>CHF 1'000</v>
      </c>
      <c r="E8" s="35" t="str">
        <f ca="1">DFIE!$B$64</f>
        <v>CHF 1'000</v>
      </c>
      <c r="F8" s="113" t="str">
        <f ca="1">DFIE!$B$64</f>
        <v>CHF 1'000</v>
      </c>
      <c r="G8" s="35" t="str">
        <f ca="1">DFIE!$B$64</f>
        <v>CHF 1'000</v>
      </c>
      <c r="H8" s="36" t="str">
        <f ca="1">DFIE!$B$64</f>
        <v>CHF 1'000</v>
      </c>
      <c r="I8" s="2"/>
      <c r="K8" s="604"/>
      <c r="L8" s="605"/>
    </row>
    <row r="9" spans="1:16" ht="12.75" customHeight="1" x14ac:dyDescent="0.25">
      <c r="A9" s="597" t="str">
        <f ca="1">DFIE!$B$73</f>
        <v>Bemessungsjahr 2020</v>
      </c>
      <c r="B9" s="31" t="str">
        <f ca="1">DFIE!$B$32</f>
        <v>Zürich</v>
      </c>
      <c r="C9" s="127">
        <v>895276.95029199996</v>
      </c>
      <c r="D9" s="154">
        <f t="shared" ref="D9:D34" si="0">$L$22*$C9</f>
        <v>895276.95029199996</v>
      </c>
      <c r="E9" s="51">
        <v>1627471.7402600001</v>
      </c>
      <c r="F9" s="155">
        <f t="shared" ref="F9:F34" si="1">$L$21*$E9</f>
        <v>0</v>
      </c>
      <c r="G9" s="152">
        <v>5069596.8349175202</v>
      </c>
      <c r="H9" s="52">
        <f>SUM(D9,F9,G9)</f>
        <v>5964873.7852095198</v>
      </c>
      <c r="I9" s="135"/>
      <c r="K9" s="143"/>
      <c r="L9" s="144"/>
      <c r="N9" s="136"/>
      <c r="P9" s="136"/>
    </row>
    <row r="10" spans="1:16" x14ac:dyDescent="0.25">
      <c r="A10" s="597"/>
      <c r="B10" s="16" t="str">
        <f ca="1">DFIE!$B$33</f>
        <v>Bern</v>
      </c>
      <c r="C10" s="153">
        <v>242484.23332999999</v>
      </c>
      <c r="D10" s="156">
        <f t="shared" si="0"/>
        <v>242484.23332999999</v>
      </c>
      <c r="E10" s="151">
        <v>487165.44156000001</v>
      </c>
      <c r="F10" s="157">
        <f t="shared" si="1"/>
        <v>0</v>
      </c>
      <c r="G10" s="150">
        <v>2094139.26141472</v>
      </c>
      <c r="H10" s="47">
        <f t="shared" ref="H10:H34" si="2">SUM(D10,F10,G10)</f>
        <v>2336623.4947447199</v>
      </c>
      <c r="I10" s="135"/>
      <c r="K10" s="145" t="str">
        <f ca="1">DFIE!$B$152</f>
        <v>Beta</v>
      </c>
      <c r="L10" s="146"/>
      <c r="N10" s="136"/>
      <c r="P10" s="136"/>
    </row>
    <row r="11" spans="1:16" x14ac:dyDescent="0.25">
      <c r="A11" s="597"/>
      <c r="B11" s="15" t="str">
        <f ca="1">DFIE!$B$34</f>
        <v>Luzern</v>
      </c>
      <c r="C11" s="125">
        <v>352907.39227999997</v>
      </c>
      <c r="D11" s="158">
        <f t="shared" si="0"/>
        <v>352907.39227999997</v>
      </c>
      <c r="E11" s="54">
        <v>947346.73789999995</v>
      </c>
      <c r="F11" s="159">
        <f t="shared" si="1"/>
        <v>0</v>
      </c>
      <c r="G11" s="149">
        <v>1273603.8925439999</v>
      </c>
      <c r="H11" s="48">
        <f t="shared" si="2"/>
        <v>1626511.284824</v>
      </c>
      <c r="I11" s="135"/>
      <c r="K11" s="133" t="str">
        <f ca="1">DFIE!$B$153</f>
        <v>Holdinggesellschaften</v>
      </c>
      <c r="L11" s="161">
        <v>2.8000000000000001E-2</v>
      </c>
      <c r="N11" s="136"/>
      <c r="P11" s="136"/>
    </row>
    <row r="12" spans="1:16" x14ac:dyDescent="0.25">
      <c r="A12" s="597"/>
      <c r="B12" s="16" t="str">
        <f ca="1">DFIE!$B$35</f>
        <v>Uri</v>
      </c>
      <c r="C12" s="153">
        <v>780.81604000000004</v>
      </c>
      <c r="D12" s="156">
        <f t="shared" si="0"/>
        <v>780.81604000000004</v>
      </c>
      <c r="E12" s="151">
        <v>8025.74964</v>
      </c>
      <c r="F12" s="157">
        <f t="shared" si="1"/>
        <v>0</v>
      </c>
      <c r="G12" s="150">
        <v>60024.102859999999</v>
      </c>
      <c r="H12" s="47">
        <f t="shared" si="2"/>
        <v>60804.918899999997</v>
      </c>
      <c r="I12" s="135"/>
      <c r="K12" s="133" t="str">
        <f ca="1">DFIE!$B$154</f>
        <v>Domizilgesellschaften</v>
      </c>
      <c r="L12" s="161">
        <v>0.124</v>
      </c>
      <c r="N12" s="136"/>
      <c r="P12" s="136"/>
    </row>
    <row r="13" spans="1:16" x14ac:dyDescent="0.25">
      <c r="A13" s="597"/>
      <c r="B13" s="15" t="str">
        <f ca="1">DFIE!$B$36</f>
        <v>Schwyz</v>
      </c>
      <c r="C13" s="125">
        <v>216029.892937</v>
      </c>
      <c r="D13" s="158">
        <f t="shared" si="0"/>
        <v>216029.892937</v>
      </c>
      <c r="E13" s="54">
        <v>472190.13033999997</v>
      </c>
      <c r="F13" s="159">
        <f t="shared" si="1"/>
        <v>0</v>
      </c>
      <c r="G13" s="149">
        <v>620142.72928384005</v>
      </c>
      <c r="H13" s="48">
        <f t="shared" si="2"/>
        <v>836172.62222084007</v>
      </c>
      <c r="I13" s="135"/>
      <c r="K13" s="133" t="str">
        <f ca="1">DFIE!$B$155</f>
        <v>Gemischte Gesellschaften</v>
      </c>
      <c r="L13" s="161">
        <v>0.125</v>
      </c>
      <c r="N13" s="136"/>
      <c r="P13" s="136"/>
    </row>
    <row r="14" spans="1:16" x14ac:dyDescent="0.25">
      <c r="A14" s="597"/>
      <c r="B14" s="16" t="str">
        <f ca="1">DFIE!$B$37</f>
        <v>Obwalden</v>
      </c>
      <c r="C14" s="153">
        <v>18453.519368000001</v>
      </c>
      <c r="D14" s="156">
        <f t="shared" si="0"/>
        <v>18453.519368000001</v>
      </c>
      <c r="E14" s="151">
        <v>48702.769260000001</v>
      </c>
      <c r="F14" s="157">
        <f t="shared" si="1"/>
        <v>0</v>
      </c>
      <c r="G14" s="150">
        <v>95889.389142159998</v>
      </c>
      <c r="H14" s="47">
        <f t="shared" si="2"/>
        <v>114342.90851015999</v>
      </c>
      <c r="I14" s="135"/>
      <c r="K14" s="133"/>
      <c r="L14" s="162"/>
      <c r="N14" s="136"/>
      <c r="P14" s="136"/>
    </row>
    <row r="15" spans="1:16" x14ac:dyDescent="0.25">
      <c r="A15" s="597"/>
      <c r="B15" s="15" t="str">
        <f ca="1">DFIE!$B$38</f>
        <v>Nidwalden</v>
      </c>
      <c r="C15" s="125">
        <v>45616.057439999997</v>
      </c>
      <c r="D15" s="158">
        <f t="shared" si="0"/>
        <v>45616.057439999997</v>
      </c>
      <c r="E15" s="54">
        <v>126960.27006</v>
      </c>
      <c r="F15" s="159">
        <f t="shared" si="1"/>
        <v>0</v>
      </c>
      <c r="G15" s="149">
        <v>141911.59789896</v>
      </c>
      <c r="H15" s="48">
        <f t="shared" si="2"/>
        <v>187527.65533896</v>
      </c>
      <c r="I15" s="135"/>
      <c r="K15" s="145" t="str">
        <f ca="1">DFIE!$B$149</f>
        <v>Zeta</v>
      </c>
      <c r="L15" s="162"/>
      <c r="N15" s="136"/>
      <c r="P15" s="136"/>
    </row>
    <row r="16" spans="1:16" x14ac:dyDescent="0.25">
      <c r="A16" s="597"/>
      <c r="B16" s="16" t="str">
        <f ca="1">DFIE!$B$39</f>
        <v>Glarus</v>
      </c>
      <c r="C16" s="153">
        <v>28337.196867999999</v>
      </c>
      <c r="D16" s="156">
        <f t="shared" si="0"/>
        <v>28337.196867999999</v>
      </c>
      <c r="E16" s="151">
        <v>46025.499100000001</v>
      </c>
      <c r="F16" s="157">
        <f t="shared" si="1"/>
        <v>0</v>
      </c>
      <c r="G16" s="150">
        <v>75628.188320000001</v>
      </c>
      <c r="H16" s="47">
        <f t="shared" si="2"/>
        <v>103965.385188</v>
      </c>
      <c r="I16" s="135"/>
      <c r="K16" s="133" t="str">
        <f ca="1">DFIE!$B$150</f>
        <v>Zeta-1</v>
      </c>
      <c r="L16" s="161">
        <v>0.34</v>
      </c>
      <c r="N16" s="136"/>
      <c r="P16" s="136"/>
    </row>
    <row r="17" spans="1:16" x14ac:dyDescent="0.25">
      <c r="A17" s="597"/>
      <c r="B17" s="15" t="str">
        <f ca="1">DFIE!$B$40</f>
        <v>Zug</v>
      </c>
      <c r="C17" s="125">
        <v>1488765.621734</v>
      </c>
      <c r="D17" s="158">
        <f t="shared" si="0"/>
        <v>1488765.621734</v>
      </c>
      <c r="E17" s="54">
        <v>3482846.6424360001</v>
      </c>
      <c r="F17" s="159">
        <f t="shared" si="1"/>
        <v>0</v>
      </c>
      <c r="G17" s="149">
        <v>1454231.97376</v>
      </c>
      <c r="H17" s="48">
        <f t="shared" si="2"/>
        <v>2942997.5954940002</v>
      </c>
      <c r="I17" s="135"/>
      <c r="K17" s="133" t="str">
        <f ca="1">DFIE!$B$151</f>
        <v>Zeta-2</v>
      </c>
      <c r="L17" s="161">
        <v>0.316</v>
      </c>
      <c r="N17" s="136"/>
      <c r="P17" s="136"/>
    </row>
    <row r="18" spans="1:16" x14ac:dyDescent="0.25">
      <c r="A18" s="597"/>
      <c r="B18" s="16" t="str">
        <f ca="1">DFIE!$B$41</f>
        <v>Freiburg</v>
      </c>
      <c r="C18" s="153">
        <v>430200.05506899999</v>
      </c>
      <c r="D18" s="156">
        <f t="shared" si="0"/>
        <v>430200.05506899999</v>
      </c>
      <c r="E18" s="151">
        <v>670397.33498128003</v>
      </c>
      <c r="F18" s="157">
        <f t="shared" si="1"/>
        <v>0</v>
      </c>
      <c r="G18" s="150">
        <v>634725.72580000001</v>
      </c>
      <c r="H18" s="47">
        <f t="shared" si="2"/>
        <v>1064925.7808690001</v>
      </c>
      <c r="I18" s="135"/>
      <c r="K18" s="133"/>
      <c r="L18" s="162"/>
      <c r="N18" s="136"/>
      <c r="P18" s="136"/>
    </row>
    <row r="19" spans="1:16" x14ac:dyDescent="0.25">
      <c r="A19" s="597"/>
      <c r="B19" s="15" t="str">
        <f ca="1">DFIE!$B$42</f>
        <v>Solothurn</v>
      </c>
      <c r="C19" s="125">
        <v>26775.455074000001</v>
      </c>
      <c r="D19" s="158">
        <f t="shared" si="0"/>
        <v>26775.455074000001</v>
      </c>
      <c r="E19" s="54">
        <v>37229.13164</v>
      </c>
      <c r="F19" s="159">
        <f t="shared" si="1"/>
        <v>0</v>
      </c>
      <c r="G19" s="149">
        <v>471042.76654400001</v>
      </c>
      <c r="H19" s="48">
        <f t="shared" si="2"/>
        <v>497818.22161800001</v>
      </c>
      <c r="I19" s="135"/>
      <c r="K19" s="145" t="str">
        <f ca="1">DFIE!$B$156</f>
        <v xml:space="preserve">Umbuchung ehemalige </v>
      </c>
      <c r="L19" s="162"/>
      <c r="N19" s="136"/>
      <c r="P19" s="136"/>
    </row>
    <row r="20" spans="1:16" x14ac:dyDescent="0.25">
      <c r="A20" s="597"/>
      <c r="B20" s="16" t="str">
        <f ca="1">DFIE!$B$43</f>
        <v>Basel-Stadt</v>
      </c>
      <c r="C20" s="153">
        <v>1410724.7306329999</v>
      </c>
      <c r="D20" s="156">
        <f t="shared" si="0"/>
        <v>1410724.7306329999</v>
      </c>
      <c r="E20" s="151">
        <v>4850288.1786439996</v>
      </c>
      <c r="F20" s="157">
        <f t="shared" si="1"/>
        <v>0</v>
      </c>
      <c r="G20" s="150">
        <v>706392.55086399999</v>
      </c>
      <c r="H20" s="47">
        <f t="shared" si="2"/>
        <v>2117117.2814969998</v>
      </c>
      <c r="I20" s="135"/>
      <c r="K20" s="145" t="str">
        <f ca="1">DFIE!$B$157</f>
        <v>Statusgesellschaften</v>
      </c>
      <c r="L20" s="162"/>
      <c r="N20" s="136"/>
      <c r="P20" s="136"/>
    </row>
    <row r="21" spans="1:16" x14ac:dyDescent="0.25">
      <c r="A21" s="597"/>
      <c r="B21" s="15" t="str">
        <f ca="1">DFIE!$B$44</f>
        <v>Basel-Landschaft</v>
      </c>
      <c r="C21" s="125">
        <v>312443.68871700001</v>
      </c>
      <c r="D21" s="158">
        <f t="shared" si="0"/>
        <v>312443.68871700001</v>
      </c>
      <c r="E21" s="54">
        <v>601802.24955016002</v>
      </c>
      <c r="F21" s="159">
        <f t="shared" si="1"/>
        <v>0</v>
      </c>
      <c r="G21" s="149">
        <v>508669.31107904</v>
      </c>
      <c r="H21" s="48">
        <f t="shared" si="2"/>
        <v>821112.99979604001</v>
      </c>
      <c r="I21" s="135"/>
      <c r="K21" s="133" t="str">
        <f ca="1">DFIE!$B$158</f>
        <v>Zetagewichtet (UF)</v>
      </c>
      <c r="L21" s="163">
        <v>0</v>
      </c>
      <c r="N21" s="136"/>
      <c r="P21" s="136"/>
    </row>
    <row r="22" spans="1:16" x14ac:dyDescent="0.25">
      <c r="A22" s="597"/>
      <c r="B22" s="16" t="str">
        <f ca="1">DFIE!$B$45</f>
        <v>Schaffhausen</v>
      </c>
      <c r="C22" s="153">
        <v>587535.89495999995</v>
      </c>
      <c r="D22" s="156">
        <f t="shared" si="0"/>
        <v>587535.89495999995</v>
      </c>
      <c r="E22" s="151">
        <v>1410751.58886</v>
      </c>
      <c r="F22" s="157">
        <f t="shared" si="1"/>
        <v>0</v>
      </c>
      <c r="G22" s="150">
        <v>175907.33374</v>
      </c>
      <c r="H22" s="47">
        <f t="shared" si="2"/>
        <v>763443.22869999998</v>
      </c>
      <c r="I22" s="135"/>
      <c r="K22" s="134" t="str">
        <f ca="1">DFIE!$B$159</f>
        <v>Betagewichtet (1-UF)</v>
      </c>
      <c r="L22" s="164">
        <f>1-$L$21</f>
        <v>1</v>
      </c>
      <c r="N22" s="136"/>
      <c r="P22" s="136"/>
    </row>
    <row r="23" spans="1:16" x14ac:dyDescent="0.25">
      <c r="A23" s="597"/>
      <c r="B23" s="15" t="str">
        <f ca="1">DFIE!$B$46</f>
        <v>Appenzell A.Rh.</v>
      </c>
      <c r="C23" s="125">
        <v>28188.623267999999</v>
      </c>
      <c r="D23" s="158">
        <f t="shared" si="0"/>
        <v>28188.623267999999</v>
      </c>
      <c r="E23" s="54">
        <v>70387.116540000003</v>
      </c>
      <c r="F23" s="159">
        <f t="shared" si="1"/>
        <v>0</v>
      </c>
      <c r="G23" s="149">
        <v>110643.44702000001</v>
      </c>
      <c r="H23" s="48">
        <f t="shared" si="2"/>
        <v>138832.07028800002</v>
      </c>
      <c r="I23" s="135"/>
      <c r="N23" s="136"/>
      <c r="P23" s="136"/>
    </row>
    <row r="24" spans="1:16" x14ac:dyDescent="0.25">
      <c r="A24" s="597"/>
      <c r="B24" s="16" t="str">
        <f ca="1">DFIE!$B$47</f>
        <v>Appenzell I.Rh.</v>
      </c>
      <c r="C24" s="153">
        <v>307.36823600000002</v>
      </c>
      <c r="D24" s="156">
        <f t="shared" si="0"/>
        <v>307.36823600000002</v>
      </c>
      <c r="E24" s="151">
        <v>3096.2650800000001</v>
      </c>
      <c r="F24" s="157">
        <f t="shared" si="1"/>
        <v>0</v>
      </c>
      <c r="G24" s="150">
        <v>59866.342519999998</v>
      </c>
      <c r="H24" s="47">
        <f t="shared" si="2"/>
        <v>60173.710756</v>
      </c>
      <c r="I24" s="135"/>
      <c r="N24" s="136"/>
      <c r="P24" s="136"/>
    </row>
    <row r="25" spans="1:16" x14ac:dyDescent="0.25">
      <c r="A25" s="597"/>
      <c r="B25" s="15" t="str">
        <f ca="1">DFIE!$B$48</f>
        <v>St. Gallen</v>
      </c>
      <c r="C25" s="125">
        <v>131236.768935</v>
      </c>
      <c r="D25" s="158">
        <f t="shared" si="0"/>
        <v>131236.768935</v>
      </c>
      <c r="E25" s="54">
        <v>241986.29346088</v>
      </c>
      <c r="F25" s="159">
        <f t="shared" si="1"/>
        <v>0</v>
      </c>
      <c r="G25" s="149">
        <v>1443314.5068888001</v>
      </c>
      <c r="H25" s="48">
        <f t="shared" si="2"/>
        <v>1574551.2758238001</v>
      </c>
      <c r="I25" s="135"/>
      <c r="N25" s="136"/>
      <c r="P25" s="136"/>
    </row>
    <row r="26" spans="1:16" x14ac:dyDescent="0.25">
      <c r="A26" s="597"/>
      <c r="B26" s="16" t="str">
        <f ca="1">DFIE!$B$49</f>
        <v>Graubünden</v>
      </c>
      <c r="C26" s="153">
        <v>135909.914662</v>
      </c>
      <c r="D26" s="156">
        <f t="shared" si="0"/>
        <v>135909.914662</v>
      </c>
      <c r="E26" s="151">
        <v>123524.03320000001</v>
      </c>
      <c r="F26" s="157">
        <f t="shared" si="1"/>
        <v>0</v>
      </c>
      <c r="G26" s="150">
        <v>399033.32721999998</v>
      </c>
      <c r="H26" s="47">
        <f t="shared" si="2"/>
        <v>534943.241882</v>
      </c>
      <c r="I26" s="135"/>
      <c r="N26" s="136"/>
      <c r="P26" s="136"/>
    </row>
    <row r="27" spans="1:16" x14ac:dyDescent="0.25">
      <c r="A27" s="597"/>
      <c r="B27" s="15" t="str">
        <f ca="1">DFIE!$B$50</f>
        <v>Aargau</v>
      </c>
      <c r="C27" s="125">
        <v>61454.629130000001</v>
      </c>
      <c r="D27" s="158">
        <f t="shared" si="0"/>
        <v>61454.629130000001</v>
      </c>
      <c r="E27" s="54">
        <v>110849.89850703999</v>
      </c>
      <c r="F27" s="159">
        <f t="shared" si="1"/>
        <v>0</v>
      </c>
      <c r="G27" s="149">
        <v>1121724.7050600001</v>
      </c>
      <c r="H27" s="48">
        <f t="shared" si="2"/>
        <v>1183179.3341900001</v>
      </c>
      <c r="I27" s="135"/>
      <c r="N27" s="136"/>
      <c r="P27" s="136"/>
    </row>
    <row r="28" spans="1:16" x14ac:dyDescent="0.25">
      <c r="A28" s="597"/>
      <c r="B28" s="16" t="str">
        <f ca="1">DFIE!$B$51</f>
        <v>Thurgau</v>
      </c>
      <c r="C28" s="153">
        <v>11948.913312000001</v>
      </c>
      <c r="D28" s="156">
        <f t="shared" si="0"/>
        <v>11948.913312000001</v>
      </c>
      <c r="E28" s="151">
        <v>45219.543380000003</v>
      </c>
      <c r="F28" s="157">
        <f t="shared" si="1"/>
        <v>0</v>
      </c>
      <c r="G28" s="150">
        <v>696261.81914559996</v>
      </c>
      <c r="H28" s="47">
        <f t="shared" si="2"/>
        <v>708210.73245759995</v>
      </c>
      <c r="I28" s="135"/>
      <c r="N28" s="136"/>
      <c r="P28" s="136"/>
    </row>
    <row r="29" spans="1:16" x14ac:dyDescent="0.25">
      <c r="A29" s="597"/>
      <c r="B29" s="15" t="str">
        <f ca="1">DFIE!$B$52</f>
        <v>Tessin</v>
      </c>
      <c r="C29" s="125">
        <v>96012.418953999993</v>
      </c>
      <c r="D29" s="158">
        <f t="shared" si="0"/>
        <v>96012.418953999993</v>
      </c>
      <c r="E29" s="54">
        <v>198949.33094000001</v>
      </c>
      <c r="F29" s="159">
        <f t="shared" si="1"/>
        <v>0</v>
      </c>
      <c r="G29" s="149">
        <v>735181.89052000002</v>
      </c>
      <c r="H29" s="48">
        <f t="shared" si="2"/>
        <v>831194.30947400001</v>
      </c>
      <c r="I29" s="135"/>
      <c r="N29" s="136"/>
      <c r="P29" s="136"/>
    </row>
    <row r="30" spans="1:16" x14ac:dyDescent="0.25">
      <c r="A30" s="597"/>
      <c r="B30" s="16" t="str">
        <f ca="1">DFIE!$B$53</f>
        <v>Waadt</v>
      </c>
      <c r="C30" s="153">
        <v>2201330.5959219998</v>
      </c>
      <c r="D30" s="156">
        <f t="shared" si="0"/>
        <v>2201330.5959219998</v>
      </c>
      <c r="E30" s="151">
        <v>5250578.7990611196</v>
      </c>
      <c r="F30" s="157">
        <f t="shared" si="1"/>
        <v>0</v>
      </c>
      <c r="G30" s="150">
        <v>1707074.1339338401</v>
      </c>
      <c r="H30" s="47">
        <f t="shared" si="2"/>
        <v>3908404.7298558401</v>
      </c>
      <c r="I30" s="135"/>
      <c r="N30" s="136"/>
      <c r="P30" s="136"/>
    </row>
    <row r="31" spans="1:16" x14ac:dyDescent="0.25">
      <c r="A31" s="597"/>
      <c r="B31" s="15" t="str">
        <f ca="1">DFIE!$B$54</f>
        <v>Wallis</v>
      </c>
      <c r="C31" s="125">
        <v>3475.7680350000001</v>
      </c>
      <c r="D31" s="158">
        <f t="shared" si="0"/>
        <v>3475.7680350000001</v>
      </c>
      <c r="E31" s="54">
        <v>12375.7297</v>
      </c>
      <c r="F31" s="159">
        <f t="shared" si="1"/>
        <v>0</v>
      </c>
      <c r="G31" s="149">
        <v>412793.19657999999</v>
      </c>
      <c r="H31" s="48">
        <f t="shared" si="2"/>
        <v>416268.964615</v>
      </c>
      <c r="I31" s="135"/>
      <c r="N31" s="136"/>
      <c r="P31" s="136"/>
    </row>
    <row r="32" spans="1:16" x14ac:dyDescent="0.25">
      <c r="A32" s="597"/>
      <c r="B32" s="16" t="str">
        <f ca="1">DFIE!$B$55</f>
        <v>Neuenburg</v>
      </c>
      <c r="C32" s="153">
        <v>83331.185008</v>
      </c>
      <c r="D32" s="156">
        <f t="shared" si="0"/>
        <v>83331.185008</v>
      </c>
      <c r="E32" s="151">
        <v>235865.27022000001</v>
      </c>
      <c r="F32" s="157">
        <f t="shared" si="1"/>
        <v>0</v>
      </c>
      <c r="G32" s="150">
        <v>304117.95481999998</v>
      </c>
      <c r="H32" s="47">
        <f t="shared" si="2"/>
        <v>387449.13982799998</v>
      </c>
      <c r="I32" s="135"/>
      <c r="N32" s="136"/>
      <c r="P32" s="136"/>
    </row>
    <row r="33" spans="1:16" x14ac:dyDescent="0.25">
      <c r="A33" s="597"/>
      <c r="B33" s="15" t="str">
        <f ca="1">DFIE!$B$56</f>
        <v>Genf</v>
      </c>
      <c r="C33" s="125">
        <v>1649615.0529420001</v>
      </c>
      <c r="D33" s="158">
        <f t="shared" si="0"/>
        <v>1649615.0529420001</v>
      </c>
      <c r="E33" s="54">
        <v>3913390.5361000001</v>
      </c>
      <c r="F33" s="159">
        <f t="shared" si="1"/>
        <v>0</v>
      </c>
      <c r="G33" s="149">
        <v>2259273.1620999998</v>
      </c>
      <c r="H33" s="48">
        <f t="shared" si="2"/>
        <v>3908888.2150419997</v>
      </c>
      <c r="I33" s="135"/>
      <c r="N33" s="136"/>
      <c r="P33" s="136"/>
    </row>
    <row r="34" spans="1:16" x14ac:dyDescent="0.25">
      <c r="A34" s="597"/>
      <c r="B34" s="16" t="str">
        <f ca="1">DFIE!$B$57</f>
        <v>Jura</v>
      </c>
      <c r="C34" s="153">
        <v>17151.061768</v>
      </c>
      <c r="D34" s="156">
        <f t="shared" si="0"/>
        <v>17151.061768</v>
      </c>
      <c r="E34" s="151">
        <v>48302.597419999998</v>
      </c>
      <c r="F34" s="157">
        <f t="shared" si="1"/>
        <v>0</v>
      </c>
      <c r="G34" s="150">
        <v>168149.09508</v>
      </c>
      <c r="H34" s="47">
        <f t="shared" si="2"/>
        <v>185300.15684800001</v>
      </c>
      <c r="I34" s="135"/>
      <c r="K34" s="40"/>
      <c r="L34" s="165"/>
      <c r="N34" s="136"/>
      <c r="P34" s="136"/>
    </row>
    <row r="35" spans="1:16" x14ac:dyDescent="0.25">
      <c r="A35" s="597"/>
      <c r="B35" s="14" t="str">
        <f ca="1">DFIE!$B$58</f>
        <v>Schweiz</v>
      </c>
      <c r="C35" s="55">
        <f t="shared" ref="C35:H35" si="3">SUM(C9:C34)</f>
        <v>10476293.804914</v>
      </c>
      <c r="D35" s="55">
        <f t="shared" si="3"/>
        <v>10476293.804914</v>
      </c>
      <c r="E35" s="55">
        <f t="shared" si="3"/>
        <v>25071728.877840478</v>
      </c>
      <c r="F35" s="124">
        <f t="shared" si="3"/>
        <v>0</v>
      </c>
      <c r="G35" s="49">
        <f t="shared" si="3"/>
        <v>22799339.239056472</v>
      </c>
      <c r="H35" s="49">
        <f t="shared" si="3"/>
        <v>33275633.043970477</v>
      </c>
      <c r="I35" s="137"/>
      <c r="N35" s="136"/>
      <c r="P35" s="136"/>
    </row>
    <row r="36" spans="1:16" ht="15" customHeight="1" x14ac:dyDescent="0.25">
      <c r="A36" s="65"/>
      <c r="C36" s="62"/>
      <c r="D36" s="62"/>
      <c r="E36" s="62"/>
      <c r="F36" s="62"/>
      <c r="G36" s="62"/>
      <c r="H36" s="62"/>
      <c r="I36" s="34"/>
      <c r="K36" s="34"/>
      <c r="L36" s="166"/>
      <c r="P36" s="136"/>
    </row>
    <row r="37" spans="1:16" ht="12.75" customHeight="1" x14ac:dyDescent="0.25">
      <c r="A37" s="598" t="str">
        <f ca="1">DFIE!$B$74</f>
        <v>Bemessungsjahr 2021</v>
      </c>
      <c r="B37" s="31" t="str">
        <f ca="1">DFIE!$B$32</f>
        <v>Zürich</v>
      </c>
      <c r="C37" s="127">
        <v>981400.60403599998</v>
      </c>
      <c r="D37" s="154">
        <f t="shared" ref="D37:D62" si="4">$L$50*$C37</f>
        <v>785120.4832288</v>
      </c>
      <c r="E37" s="51">
        <v>2488874.6147159999</v>
      </c>
      <c r="F37" s="155">
        <f t="shared" ref="F37:F62" si="5">$L$49*$E37</f>
        <v>497774.92294319998</v>
      </c>
      <c r="G37" s="152">
        <v>6581531.1059097601</v>
      </c>
      <c r="H37" s="52">
        <f>SUM(D37,F37,G37)</f>
        <v>7864426.51208176</v>
      </c>
      <c r="I37" s="138"/>
      <c r="K37" s="143"/>
      <c r="L37" s="167"/>
      <c r="N37" s="136"/>
      <c r="P37" s="136"/>
    </row>
    <row r="38" spans="1:16" x14ac:dyDescent="0.25">
      <c r="A38" s="598"/>
      <c r="B38" s="16" t="str">
        <f ca="1">DFIE!$B$33</f>
        <v>Bern</v>
      </c>
      <c r="C38" s="153">
        <v>368535.65572500002</v>
      </c>
      <c r="D38" s="156">
        <f t="shared" si="4"/>
        <v>294828.52458000003</v>
      </c>
      <c r="E38" s="151">
        <v>716597.84447999997</v>
      </c>
      <c r="F38" s="157">
        <f t="shared" si="5"/>
        <v>143319.56889600001</v>
      </c>
      <c r="G38" s="150">
        <v>2197629.9928564802</v>
      </c>
      <c r="H38" s="47">
        <f t="shared" ref="H38:H62" si="6">SUM(D38,F38,G38)</f>
        <v>2635778.0863324804</v>
      </c>
      <c r="I38" s="138"/>
      <c r="K38" s="145" t="str">
        <f ca="1">DFIE!$B$152</f>
        <v>Beta</v>
      </c>
      <c r="L38" s="168"/>
      <c r="N38" s="136"/>
      <c r="P38" s="136"/>
    </row>
    <row r="39" spans="1:16" x14ac:dyDescent="0.25">
      <c r="A39" s="598"/>
      <c r="B39" s="15" t="str">
        <f ca="1">DFIE!$B$34</f>
        <v>Luzern</v>
      </c>
      <c r="C39" s="125">
        <v>319101.36370699998</v>
      </c>
      <c r="D39" s="158">
        <f t="shared" si="4"/>
        <v>255281.09096559999</v>
      </c>
      <c r="E39" s="54">
        <v>796410.37627200002</v>
      </c>
      <c r="F39" s="159">
        <f t="shared" si="5"/>
        <v>159282.07525440003</v>
      </c>
      <c r="G39" s="149">
        <v>1994245.9521600001</v>
      </c>
      <c r="H39" s="48">
        <f t="shared" si="6"/>
        <v>2408809.1183799999</v>
      </c>
      <c r="I39" s="138"/>
      <c r="K39" s="133" t="str">
        <f ca="1">DFIE!$B$153</f>
        <v>Holdinggesellschaften</v>
      </c>
      <c r="L39" s="161">
        <v>2.8000000000000001E-2</v>
      </c>
      <c r="N39" s="136"/>
      <c r="P39" s="136"/>
    </row>
    <row r="40" spans="1:16" x14ac:dyDescent="0.25">
      <c r="A40" s="598"/>
      <c r="B40" s="16" t="str">
        <f ca="1">DFIE!$B$35</f>
        <v>Uri</v>
      </c>
      <c r="C40" s="153">
        <v>1182.6535919999999</v>
      </c>
      <c r="D40" s="156">
        <f t="shared" si="4"/>
        <v>946.12287359999993</v>
      </c>
      <c r="E40" s="151">
        <v>8758.1135040000008</v>
      </c>
      <c r="F40" s="157">
        <f t="shared" si="5"/>
        <v>1751.6227008000003</v>
      </c>
      <c r="G40" s="150">
        <v>100955.317344</v>
      </c>
      <c r="H40" s="47">
        <f t="shared" si="6"/>
        <v>103653.0629184</v>
      </c>
      <c r="I40" s="138"/>
      <c r="K40" s="133" t="str">
        <f ca="1">DFIE!$B$154</f>
        <v>Domizilgesellschaften</v>
      </c>
      <c r="L40" s="161">
        <v>0.124</v>
      </c>
      <c r="N40" s="136"/>
      <c r="P40" s="136"/>
    </row>
    <row r="41" spans="1:16" x14ac:dyDescent="0.25">
      <c r="A41" s="598"/>
      <c r="B41" s="15" t="str">
        <f ca="1">DFIE!$B$36</f>
        <v>Schwyz</v>
      </c>
      <c r="C41" s="125">
        <v>385150.74635199999</v>
      </c>
      <c r="D41" s="158">
        <f t="shared" si="4"/>
        <v>308120.59708159999</v>
      </c>
      <c r="E41" s="54">
        <v>920434.79472000001</v>
      </c>
      <c r="F41" s="159">
        <f t="shared" si="5"/>
        <v>184086.95894400001</v>
      </c>
      <c r="G41" s="149">
        <v>731765.39388791996</v>
      </c>
      <c r="H41" s="48">
        <f t="shared" si="6"/>
        <v>1223972.9499135199</v>
      </c>
      <c r="I41" s="138"/>
      <c r="K41" s="133" t="str">
        <f ca="1">DFIE!$B$155</f>
        <v>Gemischte Gesellschaften</v>
      </c>
      <c r="L41" s="161">
        <v>0.125</v>
      </c>
      <c r="N41" s="136"/>
      <c r="P41" s="136"/>
    </row>
    <row r="42" spans="1:16" x14ac:dyDescent="0.25">
      <c r="A42" s="598"/>
      <c r="B42" s="16" t="str">
        <f ca="1">DFIE!$B$37</f>
        <v>Obwalden</v>
      </c>
      <c r="C42" s="153">
        <v>25658.997601999999</v>
      </c>
      <c r="D42" s="156">
        <f t="shared" si="4"/>
        <v>20527.1980816</v>
      </c>
      <c r="E42" s="151">
        <v>44215.058630400003</v>
      </c>
      <c r="F42" s="157">
        <f t="shared" si="5"/>
        <v>8843.0117260800016</v>
      </c>
      <c r="G42" s="150">
        <v>123441.10254336</v>
      </c>
      <c r="H42" s="47">
        <f t="shared" si="6"/>
        <v>152811.31235104002</v>
      </c>
      <c r="I42" s="138"/>
      <c r="K42" s="133"/>
      <c r="L42" s="162"/>
      <c r="N42" s="136"/>
      <c r="P42" s="136"/>
    </row>
    <row r="43" spans="1:16" x14ac:dyDescent="0.25">
      <c r="A43" s="598"/>
      <c r="B43" s="15" t="str">
        <f ca="1">DFIE!$B$38</f>
        <v>Nidwalden</v>
      </c>
      <c r="C43" s="125">
        <v>41403.637654999999</v>
      </c>
      <c r="D43" s="158">
        <f t="shared" si="4"/>
        <v>33122.910124000002</v>
      </c>
      <c r="E43" s="54">
        <v>179487.54936</v>
      </c>
      <c r="F43" s="159">
        <f t="shared" si="5"/>
        <v>35897.509872000002</v>
      </c>
      <c r="G43" s="149">
        <v>203275.32747312001</v>
      </c>
      <c r="H43" s="48">
        <f t="shared" si="6"/>
        <v>272295.74746912002</v>
      </c>
      <c r="I43" s="138"/>
      <c r="K43" s="145" t="str">
        <f ca="1">DFIE!$B$149</f>
        <v>Zeta</v>
      </c>
      <c r="L43" s="162"/>
      <c r="N43" s="136"/>
      <c r="P43" s="136"/>
    </row>
    <row r="44" spans="1:16" x14ac:dyDescent="0.25">
      <c r="A44" s="598"/>
      <c r="B44" s="16" t="str">
        <f ca="1">DFIE!$B$39</f>
        <v>Glarus</v>
      </c>
      <c r="C44" s="153">
        <v>25113.6086</v>
      </c>
      <c r="D44" s="156">
        <f t="shared" si="4"/>
        <v>20090.886880000002</v>
      </c>
      <c r="E44" s="151">
        <v>38419.158624000003</v>
      </c>
      <c r="F44" s="157">
        <f t="shared" si="5"/>
        <v>7683.8317248000012</v>
      </c>
      <c r="G44" s="150">
        <v>81631.731887999995</v>
      </c>
      <c r="H44" s="47">
        <f t="shared" si="6"/>
        <v>109406.4504928</v>
      </c>
      <c r="I44" s="138"/>
      <c r="K44" s="133" t="str">
        <f ca="1">DFIE!$B$150</f>
        <v>Zeta-1</v>
      </c>
      <c r="L44" s="161">
        <v>0.33600000000000002</v>
      </c>
      <c r="N44" s="136"/>
      <c r="P44" s="136"/>
    </row>
    <row r="45" spans="1:16" x14ac:dyDescent="0.25">
      <c r="A45" s="598"/>
      <c r="B45" s="15" t="str">
        <f ca="1">DFIE!$B$40</f>
        <v>Zug</v>
      </c>
      <c r="C45" s="125">
        <v>1964561.743919</v>
      </c>
      <c r="D45" s="158">
        <f t="shared" si="4"/>
        <v>1571649.3951352001</v>
      </c>
      <c r="E45" s="54">
        <v>4379506.7756160004</v>
      </c>
      <c r="F45" s="159">
        <f t="shared" si="5"/>
        <v>875901.3551232001</v>
      </c>
      <c r="G45" s="149">
        <v>2221907.3567039999</v>
      </c>
      <c r="H45" s="48">
        <f t="shared" si="6"/>
        <v>4669458.1069623996</v>
      </c>
      <c r="I45" s="138"/>
      <c r="K45" s="133" t="str">
        <f ca="1">DFIE!$B$151</f>
        <v>Zeta-2</v>
      </c>
      <c r="L45" s="161">
        <v>0.34499999999999997</v>
      </c>
      <c r="N45" s="136"/>
      <c r="P45" s="136"/>
    </row>
    <row r="46" spans="1:16" x14ac:dyDescent="0.25">
      <c r="A46" s="598"/>
      <c r="B46" s="16" t="str">
        <f ca="1">DFIE!$B$41</f>
        <v>Freiburg</v>
      </c>
      <c r="C46" s="153">
        <v>466770.55467600003</v>
      </c>
      <c r="D46" s="156">
        <f t="shared" si="4"/>
        <v>373416.44374080002</v>
      </c>
      <c r="E46" s="151">
        <v>843692.06781719998</v>
      </c>
      <c r="F46" s="157">
        <f t="shared" si="5"/>
        <v>168738.41356344</v>
      </c>
      <c r="G46" s="150">
        <v>584256.33403200004</v>
      </c>
      <c r="H46" s="47">
        <f t="shared" si="6"/>
        <v>1126411.1913362402</v>
      </c>
      <c r="I46" s="138"/>
      <c r="K46" s="133"/>
      <c r="L46" s="162"/>
      <c r="N46" s="136"/>
      <c r="P46" s="136"/>
    </row>
    <row r="47" spans="1:16" x14ac:dyDescent="0.25">
      <c r="A47" s="598"/>
      <c r="B47" s="15" t="str">
        <f ca="1">DFIE!$B$42</f>
        <v>Solothurn</v>
      </c>
      <c r="C47" s="125">
        <v>38165.886802000001</v>
      </c>
      <c r="D47" s="158">
        <f t="shared" si="4"/>
        <v>30532.709441600004</v>
      </c>
      <c r="E47" s="54">
        <v>47857.675823999998</v>
      </c>
      <c r="F47" s="159">
        <f t="shared" si="5"/>
        <v>9571.5351647999996</v>
      </c>
      <c r="G47" s="149">
        <v>566483.77583616006</v>
      </c>
      <c r="H47" s="48">
        <f t="shared" si="6"/>
        <v>606588.02044256008</v>
      </c>
      <c r="I47" s="138"/>
      <c r="K47" s="145" t="str">
        <f ca="1">DFIE!$B$156</f>
        <v xml:space="preserve">Umbuchung ehemalige </v>
      </c>
      <c r="L47" s="162"/>
      <c r="N47" s="136"/>
      <c r="P47" s="136"/>
    </row>
    <row r="48" spans="1:16" x14ac:dyDescent="0.25">
      <c r="A48" s="598"/>
      <c r="B48" s="16" t="str">
        <f ca="1">DFIE!$B$43</f>
        <v>Basel-Stadt</v>
      </c>
      <c r="C48" s="153">
        <v>1536101.3736920001</v>
      </c>
      <c r="D48" s="156">
        <f t="shared" si="4"/>
        <v>1228881.0989536</v>
      </c>
      <c r="E48" s="151">
        <v>2535488.9196000001</v>
      </c>
      <c r="F48" s="157">
        <f t="shared" si="5"/>
        <v>507097.78392000007</v>
      </c>
      <c r="G48" s="150">
        <v>1084784.8495680001</v>
      </c>
      <c r="H48" s="47">
        <f t="shared" si="6"/>
        <v>2820763.7324416004</v>
      </c>
      <c r="I48" s="138"/>
      <c r="K48" s="145" t="str">
        <f ca="1">DFIE!$B$157</f>
        <v>Statusgesellschaften</v>
      </c>
      <c r="L48" s="162"/>
      <c r="N48" s="136"/>
      <c r="P48" s="136"/>
    </row>
    <row r="49" spans="1:16" x14ac:dyDescent="0.25">
      <c r="A49" s="598"/>
      <c r="B49" s="15" t="str">
        <f ca="1">DFIE!$B$44</f>
        <v>Basel-Landschaft</v>
      </c>
      <c r="C49" s="125">
        <v>280513.48528700002</v>
      </c>
      <c r="D49" s="158">
        <f t="shared" si="4"/>
        <v>224410.78822960003</v>
      </c>
      <c r="E49" s="54">
        <v>671796.85657727998</v>
      </c>
      <c r="F49" s="159">
        <f t="shared" si="5"/>
        <v>134359.371315456</v>
      </c>
      <c r="G49" s="149">
        <v>588754.20408000005</v>
      </c>
      <c r="H49" s="48">
        <f t="shared" si="6"/>
        <v>947524.36362505611</v>
      </c>
      <c r="I49" s="138"/>
      <c r="K49" s="133" t="str">
        <f ca="1">DFIE!$B$158</f>
        <v>Zetagewichtet (UF)</v>
      </c>
      <c r="L49" s="163">
        <v>0.2</v>
      </c>
      <c r="N49" s="136"/>
      <c r="P49" s="136"/>
    </row>
    <row r="50" spans="1:16" x14ac:dyDescent="0.25">
      <c r="A50" s="598"/>
      <c r="B50" s="16" t="str">
        <f ca="1">DFIE!$B$45</f>
        <v>Schaffhausen</v>
      </c>
      <c r="C50" s="153">
        <v>636435.90570300003</v>
      </c>
      <c r="D50" s="156">
        <f t="shared" si="4"/>
        <v>509148.72456240002</v>
      </c>
      <c r="E50" s="151">
        <v>1598409.868608</v>
      </c>
      <c r="F50" s="157">
        <f t="shared" si="5"/>
        <v>319681.97372160002</v>
      </c>
      <c r="G50" s="150">
        <v>219466.71331200001</v>
      </c>
      <c r="H50" s="47">
        <f t="shared" si="6"/>
        <v>1048297.4115960001</v>
      </c>
      <c r="I50" s="138"/>
      <c r="K50" s="134" t="str">
        <f ca="1">DFIE!$B$159</f>
        <v>Betagewichtet (1-UF)</v>
      </c>
      <c r="L50" s="164">
        <f>1-$L$49</f>
        <v>0.8</v>
      </c>
      <c r="N50" s="136"/>
      <c r="P50" s="136"/>
    </row>
    <row r="51" spans="1:16" x14ac:dyDescent="0.25">
      <c r="A51" s="598"/>
      <c r="B51" s="15" t="str">
        <f ca="1">DFIE!$B$46</f>
        <v>Appenzell A.Rh.</v>
      </c>
      <c r="C51" s="125">
        <v>27722.186472000001</v>
      </c>
      <c r="D51" s="158">
        <f t="shared" si="4"/>
        <v>22177.749177600002</v>
      </c>
      <c r="E51" s="54">
        <v>62924.366064000002</v>
      </c>
      <c r="F51" s="159">
        <f t="shared" si="5"/>
        <v>12584.873212800001</v>
      </c>
      <c r="G51" s="149">
        <v>156129.860208</v>
      </c>
      <c r="H51" s="48">
        <f t="shared" si="6"/>
        <v>190892.48259840001</v>
      </c>
      <c r="I51" s="138"/>
      <c r="N51" s="136"/>
      <c r="P51" s="136"/>
    </row>
    <row r="52" spans="1:16" x14ac:dyDescent="0.25">
      <c r="A52" s="598"/>
      <c r="B52" s="16" t="str">
        <f ca="1">DFIE!$B$47</f>
        <v>Appenzell I.Rh.</v>
      </c>
      <c r="C52" s="153">
        <v>288.07572800000003</v>
      </c>
      <c r="D52" s="156">
        <f t="shared" si="4"/>
        <v>230.46058240000002</v>
      </c>
      <c r="E52" s="151">
        <v>3383.4420479999999</v>
      </c>
      <c r="F52" s="157">
        <f t="shared" si="5"/>
        <v>676.6884096</v>
      </c>
      <c r="G52" s="150">
        <v>61694.272080000002</v>
      </c>
      <c r="H52" s="47">
        <f t="shared" si="6"/>
        <v>62601.421072000005</v>
      </c>
      <c r="I52" s="138"/>
      <c r="N52" s="136"/>
      <c r="P52" s="136"/>
    </row>
    <row r="53" spans="1:16" x14ac:dyDescent="0.25">
      <c r="A53" s="598"/>
      <c r="B53" s="15" t="str">
        <f ca="1">DFIE!$B$48</f>
        <v>St. Gallen</v>
      </c>
      <c r="C53" s="125">
        <v>190608.81737</v>
      </c>
      <c r="D53" s="158">
        <f t="shared" si="4"/>
        <v>152487.053896</v>
      </c>
      <c r="E53" s="54">
        <v>280924.90871927998</v>
      </c>
      <c r="F53" s="159">
        <f t="shared" si="5"/>
        <v>56184.981743855999</v>
      </c>
      <c r="G53" s="149">
        <v>1626696.21912</v>
      </c>
      <c r="H53" s="48">
        <f t="shared" si="6"/>
        <v>1835368.254759856</v>
      </c>
      <c r="I53" s="138"/>
      <c r="N53" s="136"/>
      <c r="P53" s="136"/>
    </row>
    <row r="54" spans="1:16" x14ac:dyDescent="0.25">
      <c r="A54" s="598"/>
      <c r="B54" s="16" t="str">
        <f ca="1">DFIE!$B$49</f>
        <v>Graubünden</v>
      </c>
      <c r="C54" s="153">
        <v>168466.60337299999</v>
      </c>
      <c r="D54" s="156">
        <f t="shared" si="4"/>
        <v>134773.2826984</v>
      </c>
      <c r="E54" s="151">
        <v>163444.40515199999</v>
      </c>
      <c r="F54" s="157">
        <f t="shared" si="5"/>
        <v>32688.8810304</v>
      </c>
      <c r="G54" s="150">
        <v>455221.32767999999</v>
      </c>
      <c r="H54" s="47">
        <f t="shared" si="6"/>
        <v>622683.49140880001</v>
      </c>
      <c r="I54" s="138"/>
      <c r="N54" s="136"/>
      <c r="P54" s="136"/>
    </row>
    <row r="55" spans="1:16" x14ac:dyDescent="0.25">
      <c r="A55" s="598"/>
      <c r="B55" s="15" t="str">
        <f ca="1">DFIE!$B$50</f>
        <v>Aargau</v>
      </c>
      <c r="C55" s="125">
        <v>26252.204351</v>
      </c>
      <c r="D55" s="158">
        <f t="shared" si="4"/>
        <v>21001.7634808</v>
      </c>
      <c r="E55" s="54">
        <v>52398.507549360002</v>
      </c>
      <c r="F55" s="159">
        <f t="shared" si="5"/>
        <v>10479.701509872</v>
      </c>
      <c r="G55" s="149">
        <v>1263999.7749119999</v>
      </c>
      <c r="H55" s="48">
        <f t="shared" si="6"/>
        <v>1295481.2399026719</v>
      </c>
      <c r="I55" s="138"/>
      <c r="N55" s="136"/>
      <c r="P55" s="136"/>
    </row>
    <row r="56" spans="1:16" x14ac:dyDescent="0.25">
      <c r="A56" s="598"/>
      <c r="B56" s="16" t="str">
        <f ca="1">DFIE!$B$51</f>
        <v>Thurgau</v>
      </c>
      <c r="C56" s="153">
        <v>17208.498112000001</v>
      </c>
      <c r="D56" s="156">
        <f t="shared" si="4"/>
        <v>13766.798489600002</v>
      </c>
      <c r="E56" s="151">
        <v>85550.659824000002</v>
      </c>
      <c r="F56" s="157">
        <f t="shared" si="5"/>
        <v>17110.131964800003</v>
      </c>
      <c r="G56" s="150">
        <v>767565.31307231996</v>
      </c>
      <c r="H56" s="47">
        <f t="shared" si="6"/>
        <v>798442.24352671998</v>
      </c>
      <c r="I56" s="138"/>
      <c r="N56" s="136"/>
      <c r="P56" s="136"/>
    </row>
    <row r="57" spans="1:16" x14ac:dyDescent="0.25">
      <c r="A57" s="598"/>
      <c r="B57" s="15" t="str">
        <f ca="1">DFIE!$B$52</f>
        <v>Tessin</v>
      </c>
      <c r="C57" s="125">
        <v>131588.78453</v>
      </c>
      <c r="D57" s="158">
        <f t="shared" si="4"/>
        <v>105271.02762400001</v>
      </c>
      <c r="E57" s="54">
        <v>277862.25230400002</v>
      </c>
      <c r="F57" s="159">
        <f t="shared" si="5"/>
        <v>55572.450460800006</v>
      </c>
      <c r="G57" s="149">
        <v>902268.01561511995</v>
      </c>
      <c r="H57" s="48">
        <f t="shared" si="6"/>
        <v>1063111.4936999199</v>
      </c>
      <c r="I57" s="138"/>
      <c r="N57" s="136"/>
      <c r="P57" s="136"/>
    </row>
    <row r="58" spans="1:16" x14ac:dyDescent="0.25">
      <c r="A58" s="598"/>
      <c r="B58" s="16" t="str">
        <f ca="1">DFIE!$B$53</f>
        <v>Waadt</v>
      </c>
      <c r="C58" s="153">
        <v>1709862.553239</v>
      </c>
      <c r="D58" s="156">
        <f t="shared" si="4"/>
        <v>1367890.0425912002</v>
      </c>
      <c r="E58" s="151">
        <v>3514727.6771208001</v>
      </c>
      <c r="F58" s="157">
        <f t="shared" si="5"/>
        <v>702945.53542416007</v>
      </c>
      <c r="G58" s="150">
        <v>2585067.6543787201</v>
      </c>
      <c r="H58" s="47">
        <f t="shared" si="6"/>
        <v>4655903.2323940806</v>
      </c>
      <c r="I58" s="138"/>
      <c r="N58" s="136"/>
      <c r="P58" s="136"/>
    </row>
    <row r="59" spans="1:16" x14ac:dyDescent="0.25">
      <c r="A59" s="598"/>
      <c r="B59" s="15" t="str">
        <f ca="1">DFIE!$B$54</f>
        <v>Wallis</v>
      </c>
      <c r="C59" s="125">
        <v>4444.4427830000004</v>
      </c>
      <c r="D59" s="158">
        <f t="shared" si="4"/>
        <v>3555.5542264000005</v>
      </c>
      <c r="E59" s="54">
        <v>13820.025408</v>
      </c>
      <c r="F59" s="159">
        <f t="shared" si="5"/>
        <v>2764.0050816000003</v>
      </c>
      <c r="G59" s="149">
        <v>521569.94937599998</v>
      </c>
      <c r="H59" s="48">
        <f t="shared" si="6"/>
        <v>527889.508684</v>
      </c>
      <c r="I59" s="138"/>
      <c r="N59" s="136"/>
      <c r="P59" s="136"/>
    </row>
    <row r="60" spans="1:16" x14ac:dyDescent="0.25">
      <c r="A60" s="598"/>
      <c r="B60" s="16" t="str">
        <f ca="1">DFIE!$B$55</f>
        <v>Neuenburg</v>
      </c>
      <c r="C60" s="153">
        <v>98967.290026999995</v>
      </c>
      <c r="D60" s="156">
        <f t="shared" si="4"/>
        <v>79173.832021599999</v>
      </c>
      <c r="E60" s="151">
        <v>231585.286464</v>
      </c>
      <c r="F60" s="157">
        <f t="shared" si="5"/>
        <v>46317.057292800004</v>
      </c>
      <c r="G60" s="150">
        <v>403910.72131200001</v>
      </c>
      <c r="H60" s="47">
        <f t="shared" si="6"/>
        <v>529401.61062639998</v>
      </c>
      <c r="I60" s="138"/>
      <c r="N60" s="136"/>
      <c r="P60" s="136"/>
    </row>
    <row r="61" spans="1:16" x14ac:dyDescent="0.25">
      <c r="A61" s="598"/>
      <c r="B61" s="15" t="str">
        <f ca="1">DFIE!$B$56</f>
        <v>Genf</v>
      </c>
      <c r="C61" s="125">
        <v>2028692.3600870001</v>
      </c>
      <c r="D61" s="158">
        <f t="shared" si="4"/>
        <v>1622953.8880696001</v>
      </c>
      <c r="E61" s="54">
        <v>4816519.3013279997</v>
      </c>
      <c r="F61" s="159">
        <f t="shared" si="5"/>
        <v>963303.86026560003</v>
      </c>
      <c r="G61" s="149">
        <v>2887958.1423840001</v>
      </c>
      <c r="H61" s="48">
        <f t="shared" si="6"/>
        <v>5474215.8907192005</v>
      </c>
      <c r="I61" s="138"/>
      <c r="N61" s="136"/>
      <c r="P61" s="136"/>
    </row>
    <row r="62" spans="1:16" x14ac:dyDescent="0.25">
      <c r="A62" s="598"/>
      <c r="B62" s="16" t="str">
        <f ca="1">DFIE!$B$57</f>
        <v>Jura</v>
      </c>
      <c r="C62" s="153">
        <v>32536.603284000001</v>
      </c>
      <c r="D62" s="156">
        <f t="shared" si="4"/>
        <v>26029.282627200002</v>
      </c>
      <c r="E62" s="151">
        <v>86471.852543999994</v>
      </c>
      <c r="F62" s="157">
        <f t="shared" si="5"/>
        <v>17294.370508799999</v>
      </c>
      <c r="G62" s="150">
        <v>232192.96531199999</v>
      </c>
      <c r="H62" s="47">
        <f t="shared" si="6"/>
        <v>275516.61844799999</v>
      </c>
      <c r="I62" s="138"/>
      <c r="K62" s="40"/>
      <c r="L62" s="165"/>
      <c r="N62" s="136"/>
      <c r="P62" s="136"/>
    </row>
    <row r="63" spans="1:16" x14ac:dyDescent="0.25">
      <c r="A63" s="598"/>
      <c r="B63" s="14" t="str">
        <f ca="1">DFIE!$B$58</f>
        <v>Schweiz</v>
      </c>
      <c r="C63" s="55">
        <f t="shared" ref="C63:H63" si="7">SUM(C37:C62)</f>
        <v>11506734.636704</v>
      </c>
      <c r="D63" s="55">
        <f t="shared" si="7"/>
        <v>9205387.7093632016</v>
      </c>
      <c r="E63" s="55">
        <f t="shared" si="7"/>
        <v>24859562.358874321</v>
      </c>
      <c r="F63" s="124">
        <f t="shared" si="7"/>
        <v>4971912.471774864</v>
      </c>
      <c r="G63" s="49">
        <f t="shared" si="7"/>
        <v>29144403.373044964</v>
      </c>
      <c r="H63" s="49">
        <f t="shared" si="7"/>
        <v>43321703.554183021</v>
      </c>
      <c r="I63" s="139"/>
      <c r="K63" s="34"/>
      <c r="L63" s="166"/>
      <c r="N63" s="136"/>
      <c r="P63" s="136"/>
    </row>
    <row r="64" spans="1:16" ht="14.25" customHeight="1" x14ac:dyDescent="0.25">
      <c r="A64" s="66"/>
      <c r="I64" s="40"/>
      <c r="P64" s="136"/>
    </row>
    <row r="65" spans="1:16" ht="12.75" customHeight="1" x14ac:dyDescent="0.25">
      <c r="A65" s="599" t="str">
        <f ca="1">DFIE!$B$75</f>
        <v>Bemessungsjahr 2022</v>
      </c>
      <c r="B65" s="31" t="str">
        <f ca="1">DFIE!$B$32</f>
        <v>Zürich</v>
      </c>
      <c r="C65" s="127">
        <v>827700.40914100001</v>
      </c>
      <c r="D65" s="154">
        <f t="shared" ref="D65:D90" si="8">$L$78*$C65</f>
        <v>496620.24548459996</v>
      </c>
      <c r="E65" s="51">
        <v>1626174.4102449899</v>
      </c>
      <c r="F65" s="155">
        <f t="shared" ref="F65:F90" si="9">$L$77*$E65</f>
        <v>650469.76409799606</v>
      </c>
      <c r="G65" s="152">
        <v>6957647.9523373004</v>
      </c>
      <c r="H65" s="52">
        <f>SUM(D65,F65,G65)</f>
        <v>8104737.9619198963</v>
      </c>
      <c r="I65" s="140"/>
      <c r="K65" s="143"/>
      <c r="L65" s="167"/>
      <c r="N65" s="136"/>
      <c r="P65" s="136"/>
    </row>
    <row r="66" spans="1:16" x14ac:dyDescent="0.25">
      <c r="A66" s="599"/>
      <c r="B66" s="16" t="str">
        <f ca="1">DFIE!$B$33</f>
        <v>Bern</v>
      </c>
      <c r="C66" s="153">
        <v>293481.42000799999</v>
      </c>
      <c r="D66" s="156">
        <f t="shared" si="8"/>
        <v>176088.85200479999</v>
      </c>
      <c r="E66" s="151">
        <v>705572.02142400004</v>
      </c>
      <c r="F66" s="157">
        <f t="shared" si="9"/>
        <v>282228.80856960005</v>
      </c>
      <c r="G66" s="150">
        <v>1981866.01010692</v>
      </c>
      <c r="H66" s="47">
        <f t="shared" ref="H66:H90" si="10">SUM(D66,F66,G66)</f>
        <v>2440183.6706813201</v>
      </c>
      <c r="I66" s="140"/>
      <c r="K66" s="145" t="str">
        <f ca="1">DFIE!$B$152</f>
        <v>Beta</v>
      </c>
      <c r="L66" s="168"/>
      <c r="N66" s="136"/>
      <c r="P66" s="136"/>
    </row>
    <row r="67" spans="1:16" x14ac:dyDescent="0.25">
      <c r="A67" s="599"/>
      <c r="B67" s="15" t="str">
        <f ca="1">DFIE!$B$34</f>
        <v>Luzern</v>
      </c>
      <c r="C67" s="125">
        <v>258109.14775900001</v>
      </c>
      <c r="D67" s="158">
        <f t="shared" si="8"/>
        <v>154865.4886554</v>
      </c>
      <c r="E67" s="54">
        <v>672409.415912</v>
      </c>
      <c r="F67" s="159">
        <f t="shared" si="9"/>
        <v>268963.76636479999</v>
      </c>
      <c r="G67" s="149">
        <v>2596630.9891623999</v>
      </c>
      <c r="H67" s="48">
        <f t="shared" si="10"/>
        <v>3020460.2441825997</v>
      </c>
      <c r="I67" s="140"/>
      <c r="K67" s="133" t="str">
        <f ca="1">DFIE!$B$153</f>
        <v>Holdinggesellschaften</v>
      </c>
      <c r="L67" s="161">
        <v>2.8000000000000001E-2</v>
      </c>
      <c r="N67" s="136"/>
      <c r="P67" s="136"/>
    </row>
    <row r="68" spans="1:16" x14ac:dyDescent="0.25">
      <c r="A68" s="599"/>
      <c r="B68" s="16" t="str">
        <f ca="1">DFIE!$B$35</f>
        <v>Uri</v>
      </c>
      <c r="C68" s="153">
        <v>1792.8793599999999</v>
      </c>
      <c r="D68" s="156">
        <f t="shared" si="8"/>
        <v>1075.7276159999999</v>
      </c>
      <c r="E68" s="151">
        <v>7249.3471559999998</v>
      </c>
      <c r="F68" s="157">
        <f t="shared" si="9"/>
        <v>2899.7388624</v>
      </c>
      <c r="G68" s="150">
        <v>75841.159031999996</v>
      </c>
      <c r="H68" s="47">
        <f t="shared" si="10"/>
        <v>79816.625510400001</v>
      </c>
      <c r="I68" s="140"/>
      <c r="K68" s="133" t="str">
        <f ca="1">DFIE!$B$154</f>
        <v>Domizilgesellschaften</v>
      </c>
      <c r="L68" s="161">
        <v>0.124</v>
      </c>
      <c r="N68" s="136"/>
      <c r="P68" s="136"/>
    </row>
    <row r="69" spans="1:16" x14ac:dyDescent="0.25">
      <c r="A69" s="599"/>
      <c r="B69" s="15" t="str">
        <f ca="1">DFIE!$B$36</f>
        <v>Schwyz</v>
      </c>
      <c r="C69" s="125">
        <v>244555.883413</v>
      </c>
      <c r="D69" s="158">
        <f t="shared" si="8"/>
        <v>146733.53004779998</v>
      </c>
      <c r="E69" s="54">
        <v>572336.78668799996</v>
      </c>
      <c r="F69" s="159">
        <f t="shared" si="9"/>
        <v>228934.7146752</v>
      </c>
      <c r="G69" s="149">
        <v>731908.90381199995</v>
      </c>
      <c r="H69" s="48">
        <f t="shared" si="10"/>
        <v>1107577.1485349999</v>
      </c>
      <c r="I69" s="140"/>
      <c r="K69" s="133" t="str">
        <f ca="1">DFIE!$B$155</f>
        <v>Gemischte Gesellschaften</v>
      </c>
      <c r="L69" s="161">
        <v>0.125</v>
      </c>
      <c r="N69" s="136"/>
      <c r="P69" s="136"/>
    </row>
    <row r="70" spans="1:16" x14ac:dyDescent="0.25">
      <c r="A70" s="599"/>
      <c r="B70" s="16" t="str">
        <f ca="1">DFIE!$B$37</f>
        <v>Obwalden</v>
      </c>
      <c r="C70" s="153">
        <v>23049.746628000001</v>
      </c>
      <c r="D70" s="156">
        <f t="shared" si="8"/>
        <v>13829.8479768</v>
      </c>
      <c r="E70" s="151">
        <v>42171.373055999997</v>
      </c>
      <c r="F70" s="157">
        <f t="shared" si="9"/>
        <v>16868.549222400001</v>
      </c>
      <c r="G70" s="150">
        <v>116585.890425588</v>
      </c>
      <c r="H70" s="47">
        <f t="shared" si="10"/>
        <v>147284.287624788</v>
      </c>
      <c r="I70" s="140"/>
      <c r="K70" s="133"/>
      <c r="L70" s="162"/>
      <c r="N70" s="136"/>
    </row>
    <row r="71" spans="1:16" x14ac:dyDescent="0.25">
      <c r="A71" s="599"/>
      <c r="B71" s="15" t="str">
        <f ca="1">DFIE!$B$38</f>
        <v>Nidwalden</v>
      </c>
      <c r="C71" s="125">
        <v>37236.945812999998</v>
      </c>
      <c r="D71" s="158">
        <f t="shared" si="8"/>
        <v>22342.167487799998</v>
      </c>
      <c r="E71" s="54">
        <v>75548.197251999998</v>
      </c>
      <c r="F71" s="159">
        <f t="shared" si="9"/>
        <v>30219.2789008</v>
      </c>
      <c r="G71" s="149">
        <v>201938.259735948</v>
      </c>
      <c r="H71" s="48">
        <f t="shared" si="10"/>
        <v>254499.70612454799</v>
      </c>
      <c r="I71" s="140"/>
      <c r="K71" s="145" t="str">
        <f ca="1">DFIE!$B$149</f>
        <v>Zeta</v>
      </c>
      <c r="L71" s="162"/>
      <c r="N71" s="136"/>
    </row>
    <row r="72" spans="1:16" x14ac:dyDescent="0.25">
      <c r="A72" s="599"/>
      <c r="B72" s="16" t="str">
        <f ca="1">DFIE!$B$39</f>
        <v>Glarus</v>
      </c>
      <c r="C72" s="153">
        <v>18661.828863999999</v>
      </c>
      <c r="D72" s="156">
        <f t="shared" si="8"/>
        <v>11197.097318399999</v>
      </c>
      <c r="E72" s="151">
        <v>27316.370036</v>
      </c>
      <c r="F72" s="157">
        <f t="shared" si="9"/>
        <v>10926.548014400001</v>
      </c>
      <c r="G72" s="150">
        <v>78366.225867999994</v>
      </c>
      <c r="H72" s="47">
        <f t="shared" si="10"/>
        <v>100489.8712008</v>
      </c>
      <c r="I72" s="140"/>
      <c r="K72" s="133" t="str">
        <f ca="1">DFIE!$B$150</f>
        <v>Zeta-1</v>
      </c>
      <c r="L72" s="169">
        <f>ZETA!$S$48</f>
        <v>0.33200000000000002</v>
      </c>
      <c r="N72" s="136"/>
    </row>
    <row r="73" spans="1:16" x14ac:dyDescent="0.25">
      <c r="A73" s="599"/>
      <c r="B73" s="15" t="str">
        <f ca="1">DFIE!$B$40</f>
        <v>Zug</v>
      </c>
      <c r="C73" s="125">
        <v>1927326.3280450001</v>
      </c>
      <c r="D73" s="158">
        <f t="shared" si="8"/>
        <v>1156395.7968270001</v>
      </c>
      <c r="E73" s="54">
        <v>4081541.6758384299</v>
      </c>
      <c r="F73" s="159">
        <f t="shared" si="9"/>
        <v>1632616.670335372</v>
      </c>
      <c r="G73" s="149">
        <v>2097708.7619969598</v>
      </c>
      <c r="H73" s="48">
        <f t="shared" si="10"/>
        <v>4886721.2291593319</v>
      </c>
      <c r="I73" s="140"/>
      <c r="K73" s="133" t="str">
        <f ca="1">DFIE!$B$151</f>
        <v>Zeta-2</v>
      </c>
      <c r="L73" s="169">
        <f>ZETA!$S$20</f>
        <v>0.33900000000000002</v>
      </c>
      <c r="N73" s="136"/>
    </row>
    <row r="74" spans="1:16" x14ac:dyDescent="0.25">
      <c r="A74" s="599"/>
      <c r="B74" s="16" t="str">
        <f ca="1">DFIE!$B$41</f>
        <v>Freiburg</v>
      </c>
      <c r="C74" s="153">
        <v>382631.71637400001</v>
      </c>
      <c r="D74" s="156">
        <f t="shared" si="8"/>
        <v>229579.0298244</v>
      </c>
      <c r="E74" s="151">
        <v>679129.79750104004</v>
      </c>
      <c r="F74" s="157">
        <f t="shared" si="9"/>
        <v>271651.919000416</v>
      </c>
      <c r="G74" s="150">
        <v>895758.88675199996</v>
      </c>
      <c r="H74" s="47">
        <f t="shared" si="10"/>
        <v>1396989.835576816</v>
      </c>
      <c r="I74" s="140"/>
      <c r="K74" s="133"/>
      <c r="L74" s="162"/>
      <c r="N74" s="136"/>
    </row>
    <row r="75" spans="1:16" x14ac:dyDescent="0.25">
      <c r="A75" s="599"/>
      <c r="B75" s="15" t="str">
        <f ca="1">DFIE!$B$42</f>
        <v>Solothurn</v>
      </c>
      <c r="C75" s="125">
        <v>25996.005398000001</v>
      </c>
      <c r="D75" s="158">
        <f t="shared" si="8"/>
        <v>15597.6032388</v>
      </c>
      <c r="E75" s="54">
        <v>30486.767516</v>
      </c>
      <c r="F75" s="159">
        <f t="shared" si="9"/>
        <v>12194.7070064</v>
      </c>
      <c r="G75" s="149">
        <v>522840.904980728</v>
      </c>
      <c r="H75" s="48">
        <f t="shared" si="10"/>
        <v>550633.215225928</v>
      </c>
      <c r="I75" s="140"/>
      <c r="K75" s="145" t="str">
        <f ca="1">DFIE!$B$156</f>
        <v xml:space="preserve">Umbuchung ehemalige </v>
      </c>
      <c r="L75" s="162"/>
      <c r="N75" s="136"/>
      <c r="P75" s="136"/>
    </row>
    <row r="76" spans="1:16" x14ac:dyDescent="0.25">
      <c r="A76" s="599"/>
      <c r="B76" s="16" t="str">
        <f ca="1">DFIE!$B$43</f>
        <v>Basel-Stadt</v>
      </c>
      <c r="C76" s="153">
        <v>2225908.1637900001</v>
      </c>
      <c r="D76" s="156">
        <f t="shared" si="8"/>
        <v>1335544.898274</v>
      </c>
      <c r="E76" s="151">
        <v>3366316.3567415099</v>
      </c>
      <c r="F76" s="157">
        <f t="shared" si="9"/>
        <v>1346526.542696604</v>
      </c>
      <c r="G76" s="150">
        <v>1044116.0921332</v>
      </c>
      <c r="H76" s="47">
        <f t="shared" si="10"/>
        <v>3726187.5331038041</v>
      </c>
      <c r="I76" s="140"/>
      <c r="K76" s="145" t="str">
        <f ca="1">DFIE!$B$157</f>
        <v>Statusgesellschaften</v>
      </c>
      <c r="L76" s="162"/>
      <c r="N76" s="136"/>
      <c r="P76" s="136"/>
    </row>
    <row r="77" spans="1:16" x14ac:dyDescent="0.25">
      <c r="A77" s="599"/>
      <c r="B77" s="15" t="str">
        <f ca="1">DFIE!$B$44</f>
        <v>Basel-Landschaft</v>
      </c>
      <c r="C77" s="125">
        <v>189046.995344</v>
      </c>
      <c r="D77" s="158">
        <f t="shared" si="8"/>
        <v>113428.1972064</v>
      </c>
      <c r="E77" s="54">
        <v>378496.44711399998</v>
      </c>
      <c r="F77" s="159">
        <f t="shared" si="9"/>
        <v>151398.57884559999</v>
      </c>
      <c r="G77" s="149">
        <v>592584.31315399997</v>
      </c>
      <c r="H77" s="48">
        <f t="shared" si="10"/>
        <v>857411.08920599998</v>
      </c>
      <c r="I77" s="140"/>
      <c r="K77" s="133" t="str">
        <f ca="1">DFIE!$B$158</f>
        <v>Zetagewichtet (UF)</v>
      </c>
      <c r="L77" s="163">
        <v>0.4</v>
      </c>
      <c r="N77" s="136"/>
      <c r="P77" s="136"/>
    </row>
    <row r="78" spans="1:16" x14ac:dyDescent="0.25">
      <c r="A78" s="599"/>
      <c r="B78" s="16" t="str">
        <f ca="1">DFIE!$B$45</f>
        <v>Schaffhausen</v>
      </c>
      <c r="C78" s="153">
        <v>674373.20390199998</v>
      </c>
      <c r="D78" s="156">
        <f t="shared" si="8"/>
        <v>404623.9223412</v>
      </c>
      <c r="E78" s="151">
        <v>1707880.279388</v>
      </c>
      <c r="F78" s="157">
        <f t="shared" si="9"/>
        <v>683152.11175520008</v>
      </c>
      <c r="G78" s="150">
        <v>196301.638672</v>
      </c>
      <c r="H78" s="47">
        <f t="shared" si="10"/>
        <v>1284077.6727684001</v>
      </c>
      <c r="I78" s="140"/>
      <c r="K78" s="134" t="str">
        <f ca="1">DFIE!$B$159</f>
        <v>Betagewichtet (1-UF)</v>
      </c>
      <c r="L78" s="164">
        <f>1-$L$77</f>
        <v>0.6</v>
      </c>
      <c r="N78" s="136"/>
      <c r="P78" s="136"/>
    </row>
    <row r="79" spans="1:16" x14ac:dyDescent="0.25">
      <c r="A79" s="599"/>
      <c r="B79" s="15" t="str">
        <f ca="1">DFIE!$B$46</f>
        <v>Appenzell A.Rh.</v>
      </c>
      <c r="C79" s="125">
        <v>74059.583100000003</v>
      </c>
      <c r="D79" s="158">
        <f t="shared" si="8"/>
        <v>44435.749860000004</v>
      </c>
      <c r="E79" s="54">
        <v>174455.9902</v>
      </c>
      <c r="F79" s="159">
        <f t="shared" si="9"/>
        <v>69782.396080000006</v>
      </c>
      <c r="G79" s="149">
        <v>131089.919792</v>
      </c>
      <c r="H79" s="48">
        <f t="shared" si="10"/>
        <v>245308.06573200002</v>
      </c>
      <c r="I79" s="140"/>
      <c r="N79" s="136"/>
      <c r="P79" s="136"/>
    </row>
    <row r="80" spans="1:16" x14ac:dyDescent="0.25">
      <c r="A80" s="599"/>
      <c r="B80" s="16" t="str">
        <f ca="1">DFIE!$B$47</f>
        <v>Appenzell I.Rh.</v>
      </c>
      <c r="C80" s="153">
        <v>167.726448</v>
      </c>
      <c r="D80" s="156">
        <f t="shared" si="8"/>
        <v>100.6358688</v>
      </c>
      <c r="E80" s="151">
        <v>1478.2389639999999</v>
      </c>
      <c r="F80" s="157">
        <f t="shared" si="9"/>
        <v>591.29558559999998</v>
      </c>
      <c r="G80" s="150">
        <v>57714.09648</v>
      </c>
      <c r="H80" s="47">
        <f t="shared" si="10"/>
        <v>58406.027934400001</v>
      </c>
      <c r="I80" s="140"/>
      <c r="N80" s="136"/>
      <c r="P80" s="136"/>
    </row>
    <row r="81" spans="1:16" x14ac:dyDescent="0.25">
      <c r="A81" s="599"/>
      <c r="B81" s="15" t="str">
        <f ca="1">DFIE!$B$48</f>
        <v>St. Gallen</v>
      </c>
      <c r="C81" s="125">
        <v>142900.209175</v>
      </c>
      <c r="D81" s="158">
        <f t="shared" si="8"/>
        <v>85740.125504999989</v>
      </c>
      <c r="E81" s="54">
        <v>216464.79872061999</v>
      </c>
      <c r="F81" s="159">
        <f t="shared" si="9"/>
        <v>86585.919488248008</v>
      </c>
      <c r="G81" s="149">
        <v>1695733.9938505399</v>
      </c>
      <c r="H81" s="48">
        <f t="shared" si="10"/>
        <v>1868060.038843788</v>
      </c>
      <c r="I81" s="140"/>
      <c r="N81" s="136"/>
      <c r="P81" s="136"/>
    </row>
    <row r="82" spans="1:16" x14ac:dyDescent="0.25">
      <c r="A82" s="599"/>
      <c r="B82" s="16" t="str">
        <f ca="1">DFIE!$B$49</f>
        <v>Graubünden</v>
      </c>
      <c r="C82" s="153">
        <v>138394.58805200001</v>
      </c>
      <c r="D82" s="156">
        <f t="shared" si="8"/>
        <v>83036.752831200007</v>
      </c>
      <c r="E82" s="151">
        <v>124238.19476</v>
      </c>
      <c r="F82" s="157">
        <f t="shared" si="9"/>
        <v>49695.277904000002</v>
      </c>
      <c r="G82" s="150">
        <v>394438.61285199999</v>
      </c>
      <c r="H82" s="47">
        <f t="shared" si="10"/>
        <v>527170.64358719997</v>
      </c>
      <c r="I82" s="140"/>
      <c r="N82" s="136"/>
      <c r="P82" s="136"/>
    </row>
    <row r="83" spans="1:16" x14ac:dyDescent="0.25">
      <c r="A83" s="599"/>
      <c r="B83" s="15" t="str">
        <f ca="1">DFIE!$B$50</f>
        <v>Aargau</v>
      </c>
      <c r="C83" s="125">
        <v>38996.066456</v>
      </c>
      <c r="D83" s="158">
        <f t="shared" si="8"/>
        <v>23397.639873600001</v>
      </c>
      <c r="E83" s="54">
        <v>73378.783149436</v>
      </c>
      <c r="F83" s="159">
        <f t="shared" si="9"/>
        <v>29351.513259774401</v>
      </c>
      <c r="G83" s="149">
        <v>1429368.4461682199</v>
      </c>
      <c r="H83" s="48">
        <f t="shared" si="10"/>
        <v>1482117.5993015943</v>
      </c>
      <c r="I83" s="140"/>
      <c r="N83" s="136"/>
      <c r="P83" s="136"/>
    </row>
    <row r="84" spans="1:16" x14ac:dyDescent="0.25">
      <c r="A84" s="599"/>
      <c r="B84" s="16" t="str">
        <f ca="1">DFIE!$B$51</f>
        <v>Thurgau</v>
      </c>
      <c r="C84" s="153">
        <v>11374.154831</v>
      </c>
      <c r="D84" s="156">
        <f t="shared" si="8"/>
        <v>6824.4928985999995</v>
      </c>
      <c r="E84" s="151">
        <v>55067.043215999998</v>
      </c>
      <c r="F84" s="157">
        <f t="shared" si="9"/>
        <v>22026.817286400001</v>
      </c>
      <c r="G84" s="150">
        <v>739792.89672021195</v>
      </c>
      <c r="H84" s="47">
        <f t="shared" si="10"/>
        <v>768644.2069052119</v>
      </c>
      <c r="I84" s="140"/>
      <c r="N84" s="136"/>
      <c r="P84" s="136"/>
    </row>
    <row r="85" spans="1:16" x14ac:dyDescent="0.25">
      <c r="A85" s="599"/>
      <c r="B85" s="15" t="str">
        <f ca="1">DFIE!$B$52</f>
        <v>Tessin</v>
      </c>
      <c r="C85" s="125">
        <v>150842.24423700001</v>
      </c>
      <c r="D85" s="158">
        <f t="shared" si="8"/>
        <v>90505.346542200001</v>
      </c>
      <c r="E85" s="54">
        <v>307275.04334799998</v>
      </c>
      <c r="F85" s="159">
        <f t="shared" si="9"/>
        <v>122910.0173392</v>
      </c>
      <c r="G85" s="149">
        <v>994627.72044586798</v>
      </c>
      <c r="H85" s="48">
        <f t="shared" si="10"/>
        <v>1208043.0843272679</v>
      </c>
      <c r="I85" s="140"/>
      <c r="N85" s="136"/>
      <c r="P85" s="136"/>
    </row>
    <row r="86" spans="1:16" x14ac:dyDescent="0.25">
      <c r="A86" s="599"/>
      <c r="B86" s="16" t="str">
        <f ca="1">DFIE!$B$53</f>
        <v>Waadt</v>
      </c>
      <c r="C86" s="153">
        <v>1796122.6088350001</v>
      </c>
      <c r="D86" s="156">
        <f t="shared" si="8"/>
        <v>1077673.5653009999</v>
      </c>
      <c r="E86" s="151">
        <v>3914432.9010717999</v>
      </c>
      <c r="F86" s="157">
        <f t="shared" si="9"/>
        <v>1565773.1604287201</v>
      </c>
      <c r="G86" s="150">
        <v>2373604.9025671599</v>
      </c>
      <c r="H86" s="47">
        <f t="shared" si="10"/>
        <v>5017051.6282968801</v>
      </c>
      <c r="I86" s="140"/>
      <c r="N86" s="136"/>
      <c r="P86" s="136"/>
    </row>
    <row r="87" spans="1:16" x14ac:dyDescent="0.25">
      <c r="A87" s="599"/>
      <c r="B87" s="15" t="str">
        <f ca="1">DFIE!$B$54</f>
        <v>Wallis</v>
      </c>
      <c r="C87" s="125">
        <v>4985.7499360000002</v>
      </c>
      <c r="D87" s="158">
        <f t="shared" si="8"/>
        <v>2991.4499615999998</v>
      </c>
      <c r="E87" s="54">
        <v>13969.78312</v>
      </c>
      <c r="F87" s="159">
        <f t="shared" si="9"/>
        <v>5587.9132480000007</v>
      </c>
      <c r="G87" s="149">
        <v>650562.49654399999</v>
      </c>
      <c r="H87" s="48">
        <f t="shared" si="10"/>
        <v>659141.85975359997</v>
      </c>
      <c r="I87" s="140"/>
      <c r="N87" s="136"/>
      <c r="P87" s="136"/>
    </row>
    <row r="88" spans="1:16" x14ac:dyDescent="0.25">
      <c r="A88" s="599"/>
      <c r="B88" s="16" t="str">
        <f ca="1">DFIE!$B$55</f>
        <v>Neuenburg</v>
      </c>
      <c r="C88" s="153">
        <v>363815.063509</v>
      </c>
      <c r="D88" s="156">
        <f t="shared" si="8"/>
        <v>218289.03810539999</v>
      </c>
      <c r="E88" s="151">
        <v>643092.57655600004</v>
      </c>
      <c r="F88" s="157">
        <f t="shared" si="9"/>
        <v>257237.03062240002</v>
      </c>
      <c r="G88" s="150">
        <v>344747.27279999998</v>
      </c>
      <c r="H88" s="47">
        <f t="shared" si="10"/>
        <v>820273.34152780008</v>
      </c>
      <c r="I88" s="140"/>
      <c r="N88" s="136"/>
      <c r="P88" s="136"/>
    </row>
    <row r="89" spans="1:16" x14ac:dyDescent="0.25">
      <c r="A89" s="599"/>
      <c r="B89" s="15" t="str">
        <f ca="1">DFIE!$B$56</f>
        <v>Genf</v>
      </c>
      <c r="C89" s="125">
        <v>3487673.3354210001</v>
      </c>
      <c r="D89" s="158">
        <f t="shared" si="8"/>
        <v>2092604.0012526</v>
      </c>
      <c r="E89" s="54">
        <v>8129946.6212959997</v>
      </c>
      <c r="F89" s="159">
        <f t="shared" si="9"/>
        <v>3251978.6485184003</v>
      </c>
      <c r="G89" s="149">
        <v>4452164.6832010597</v>
      </c>
      <c r="H89" s="48">
        <f t="shared" si="10"/>
        <v>9796747.3329720609</v>
      </c>
      <c r="I89" s="140"/>
      <c r="N89" s="136"/>
      <c r="P89" s="136"/>
    </row>
    <row r="90" spans="1:16" x14ac:dyDescent="0.25">
      <c r="A90" s="599"/>
      <c r="B90" s="16" t="str">
        <f ca="1">DFIE!$B$57</f>
        <v>Jura</v>
      </c>
      <c r="C90" s="153">
        <v>25340.248660000001</v>
      </c>
      <c r="D90" s="156">
        <f t="shared" si="8"/>
        <v>15204.149196</v>
      </c>
      <c r="E90" s="151">
        <v>67047.202791999996</v>
      </c>
      <c r="F90" s="157">
        <f t="shared" si="9"/>
        <v>26818.881116799999</v>
      </c>
      <c r="G90" s="150">
        <v>239553.99874800001</v>
      </c>
      <c r="H90" s="47">
        <f t="shared" si="10"/>
        <v>281577.02906080004</v>
      </c>
      <c r="I90" s="140"/>
      <c r="K90" s="40"/>
      <c r="L90" s="40"/>
      <c r="N90" s="136"/>
      <c r="P90" s="136"/>
    </row>
    <row r="91" spans="1:16" x14ac:dyDescent="0.25">
      <c r="A91" s="599"/>
      <c r="B91" s="14" t="str">
        <f ca="1">DFIE!$B$58</f>
        <v>Schweiz</v>
      </c>
      <c r="C91" s="55">
        <f t="shared" ref="C91:H91" si="11">SUM(C65:C90)</f>
        <v>13364542.252499001</v>
      </c>
      <c r="D91" s="55">
        <f t="shared" si="11"/>
        <v>8018725.3514994001</v>
      </c>
      <c r="E91" s="55">
        <f t="shared" si="11"/>
        <v>27693476.423061825</v>
      </c>
      <c r="F91" s="124">
        <f t="shared" si="11"/>
        <v>11077390.56922473</v>
      </c>
      <c r="G91" s="49">
        <f t="shared" si="11"/>
        <v>31593495.028338108</v>
      </c>
      <c r="H91" s="49">
        <f t="shared" si="11"/>
        <v>50689610.949062236</v>
      </c>
      <c r="I91" s="141"/>
      <c r="K91" s="34"/>
      <c r="L91" s="34"/>
      <c r="N91" s="136"/>
      <c r="P91" s="136"/>
    </row>
  </sheetData>
  <mergeCells count="9">
    <mergeCell ref="A9:A35"/>
    <mergeCell ref="A37:A63"/>
    <mergeCell ref="A65:A91"/>
    <mergeCell ref="H5:H7"/>
    <mergeCell ref="K5:L8"/>
    <mergeCell ref="C6:D6"/>
    <mergeCell ref="E6:F6"/>
    <mergeCell ref="C5:F5"/>
    <mergeCell ref="G5:G7"/>
  </mergeCells>
  <conditionalFormatting sqref="C9:C34">
    <cfRule type="expression" dxfId="49" priority="23" stopIfTrue="1">
      <formula>ISBLANK(C9)</formula>
    </cfRule>
  </conditionalFormatting>
  <conditionalFormatting sqref="C37:C62">
    <cfRule type="expression" dxfId="48" priority="22" stopIfTrue="1">
      <formula>ISBLANK(C37)</formula>
    </cfRule>
  </conditionalFormatting>
  <conditionalFormatting sqref="C65:C90">
    <cfRule type="expression" dxfId="47" priority="21" stopIfTrue="1">
      <formula>ISBLANK(C65)</formula>
    </cfRule>
  </conditionalFormatting>
  <conditionalFormatting sqref="E9:E34">
    <cfRule type="expression" dxfId="46" priority="20" stopIfTrue="1">
      <formula>ISBLANK(E9)</formula>
    </cfRule>
  </conditionalFormatting>
  <conditionalFormatting sqref="E37:E62">
    <cfRule type="expression" dxfId="45" priority="19" stopIfTrue="1">
      <formula>ISBLANK(E37)</formula>
    </cfRule>
  </conditionalFormatting>
  <conditionalFormatting sqref="E65:E90">
    <cfRule type="expression" dxfId="44" priority="18" stopIfTrue="1">
      <formula>ISBLANK(E65)</formula>
    </cfRule>
  </conditionalFormatting>
  <conditionalFormatting sqref="G9:G34">
    <cfRule type="expression" dxfId="43" priority="17" stopIfTrue="1">
      <formula>ISBLANK(G9)</formula>
    </cfRule>
  </conditionalFormatting>
  <conditionalFormatting sqref="G37:G62">
    <cfRule type="expression" dxfId="42" priority="16" stopIfTrue="1">
      <formula>ISBLANK(G37)</formula>
    </cfRule>
  </conditionalFormatting>
  <conditionalFormatting sqref="G65:G90">
    <cfRule type="expression" dxfId="41" priority="15" stopIfTrue="1">
      <formula>ISBLANK(G65)</formula>
    </cfRule>
  </conditionalFormatting>
  <conditionalFormatting sqref="L11:L13">
    <cfRule type="expression" dxfId="40" priority="5">
      <formula>ISBLANK(L11)</formula>
    </cfRule>
  </conditionalFormatting>
  <conditionalFormatting sqref="L16:L17">
    <cfRule type="expression" dxfId="39" priority="4">
      <formula>ISBLANK(L16)</formula>
    </cfRule>
  </conditionalFormatting>
  <conditionalFormatting sqref="L21 L49 L77">
    <cfRule type="expression" dxfId="38" priority="9" stopIfTrue="1">
      <formula>ISBLANK(L21)</formula>
    </cfRule>
  </conditionalFormatting>
  <conditionalFormatting sqref="L21:L22">
    <cfRule type="expression" dxfId="37" priority="8" stopIfTrue="1">
      <formula>$L$22=0</formula>
    </cfRule>
  </conditionalFormatting>
  <conditionalFormatting sqref="L39:L41">
    <cfRule type="expression" dxfId="36" priority="3">
      <formula>ISBLANK(L39)</formula>
    </cfRule>
  </conditionalFormatting>
  <conditionalFormatting sqref="L44:L45">
    <cfRule type="expression" dxfId="35" priority="2">
      <formula>ISBLANK(L44)</formula>
    </cfRule>
  </conditionalFormatting>
  <conditionalFormatting sqref="L49:L50">
    <cfRule type="expression" dxfId="34" priority="7" stopIfTrue="1">
      <formula>$L$50=0</formula>
    </cfRule>
  </conditionalFormatting>
  <conditionalFormatting sqref="L67:L69">
    <cfRule type="expression" dxfId="33" priority="1">
      <formula>ISBLANK(L67)</formula>
    </cfRule>
  </conditionalFormatting>
  <conditionalFormatting sqref="L77:L78">
    <cfRule type="expression" dxfId="32" priority="6" stopIfTrue="1">
      <formula>$L$78=0</formula>
    </cfRule>
  </conditionalFormatting>
  <pageMargins left="0.78740157480314965" right="0.59055118110236227" top="0.9055118110236221" bottom="0.78740157480314965" header="0.51181102362204722" footer="0.51181102362204722"/>
  <pageSetup paperSize="9" scale="79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6"/>
  <dimension ref="A1:O91"/>
  <sheetViews>
    <sheetView showGridLines="0" zoomScaleNormal="100" workbookViewId="0">
      <pane ySplit="8" topLeftCell="A68" activePane="bottomLeft" state="frozen"/>
      <selection activeCell="J20" sqref="J20"/>
      <selection pane="bottomLeft" activeCell="A100" sqref="A100"/>
    </sheetView>
  </sheetViews>
  <sheetFormatPr baseColWidth="10" defaultRowHeight="13.2" x14ac:dyDescent="0.25"/>
  <cols>
    <col min="1" max="1" width="4.44140625" customWidth="1"/>
    <col min="2" max="2" width="17.33203125" customWidth="1"/>
    <col min="3" max="5" width="15.6640625" customWidth="1"/>
    <col min="6" max="7" width="18.33203125" customWidth="1"/>
    <col min="8" max="8" width="13.5546875" customWidth="1"/>
    <col min="9" max="9" width="18.6640625" customWidth="1"/>
    <col min="10" max="10" width="1.5546875" customWidth="1"/>
    <col min="11" max="12" width="3.109375" customWidth="1"/>
    <col min="13" max="13" width="28.6640625" customWidth="1"/>
    <col min="14" max="14" width="8.109375" customWidth="1"/>
    <col min="15" max="15" width="12.6640625" customWidth="1"/>
  </cols>
  <sheetData>
    <row r="1" spans="1:15" ht="22.5" customHeight="1" x14ac:dyDescent="0.3">
      <c r="B1" s="3" t="str">
        <f ca="1">DFIE!$B$160</f>
        <v>Steuerrepartitionen 2026</v>
      </c>
    </row>
    <row r="2" spans="1:15" ht="13.2" customHeight="1" x14ac:dyDescent="0.25"/>
    <row r="3" spans="1:15" ht="0.6" customHeight="1" x14ac:dyDescent="0.25"/>
    <row r="4" spans="1:15" ht="12" customHeight="1" x14ac:dyDescent="0.25">
      <c r="B4" s="67" t="str">
        <f ca="1">DFIE!$B$59</f>
        <v>Spalte</v>
      </c>
      <c r="C4" s="111" t="s">
        <v>30</v>
      </c>
      <c r="D4" s="68" t="s">
        <v>31</v>
      </c>
      <c r="E4" s="109" t="s">
        <v>32</v>
      </c>
      <c r="F4" s="68" t="s">
        <v>43</v>
      </c>
      <c r="G4" s="68" t="s">
        <v>42</v>
      </c>
      <c r="H4" s="68" t="s">
        <v>33</v>
      </c>
      <c r="I4" s="69" t="s">
        <v>34</v>
      </c>
    </row>
    <row r="5" spans="1:15" ht="12" customHeight="1" x14ac:dyDescent="0.25">
      <c r="B5" s="67" t="str">
        <f ca="1">DFIE!$B$60</f>
        <v>Formel</v>
      </c>
      <c r="C5" s="170"/>
      <c r="D5" s="132"/>
      <c r="E5" s="112" t="s">
        <v>962</v>
      </c>
      <c r="F5" s="132"/>
      <c r="G5" s="132"/>
      <c r="H5" s="112" t="s">
        <v>963</v>
      </c>
      <c r="I5" s="72" t="s">
        <v>964</v>
      </c>
    </row>
    <row r="6" spans="1:15" ht="17.399999999999999" customHeight="1" x14ac:dyDescent="0.25">
      <c r="B6" s="148"/>
      <c r="C6" s="617" t="str">
        <f ca="1">DFIE!$B$165</f>
        <v>Natürliche Personen</v>
      </c>
      <c r="D6" s="618"/>
      <c r="E6" s="619"/>
      <c r="F6" s="617" t="str">
        <f ca="1">DFIE!$B$169</f>
        <v>Juristische Personen</v>
      </c>
      <c r="G6" s="618"/>
      <c r="H6" s="619"/>
      <c r="I6" s="592" t="str">
        <f ca="1">DFIE!$B$174</f>
        <v>Massgebende
Steuerrepartitionen
Total</v>
      </c>
    </row>
    <row r="7" spans="1:15" ht="45" customHeight="1" x14ac:dyDescent="0.25">
      <c r="B7" s="184"/>
      <c r="C7" s="185" t="str">
        <f ca="1">DFIE!$B$161</f>
        <v>Zu Gunsten
anderer
Kantone</v>
      </c>
      <c r="D7" s="142" t="str">
        <f ca="1">DFIE!$B$162</f>
        <v>Erhalten von
anderen
Kantonen</v>
      </c>
      <c r="E7" s="160" t="str">
        <f ca="1">DFIE!$B$173</f>
        <v>Massgebende
Steuer-
repartitionen</v>
      </c>
      <c r="F7" s="142" t="str">
        <f ca="1">DFIE!$B$161</f>
        <v>Zu Gunsten
anderer
Kantone</v>
      </c>
      <c r="G7" s="142" t="str">
        <f ca="1">DFIE!$B$162</f>
        <v>Erhalten von
anderen
Kantonen</v>
      </c>
      <c r="H7" s="160" t="str">
        <f ca="1">DFIE!$B$173</f>
        <v>Massgebende
Steuer-
repartitionen</v>
      </c>
      <c r="I7" s="593" t="str">
        <f ca="1">DFIE!$B$173</f>
        <v>Massgebende
Steuer-
repartitionen</v>
      </c>
      <c r="L7" s="600" t="str">
        <f ca="1">DFIE!$B$163</f>
        <v>Gewichtungsfaktoren</v>
      </c>
      <c r="M7" s="615"/>
      <c r="N7" s="615"/>
      <c r="O7" s="601"/>
    </row>
    <row r="8" spans="1:15" ht="12.75" customHeight="1" x14ac:dyDescent="0.25">
      <c r="B8" s="76" t="str">
        <f ca="1">DFIE!$B$62</f>
        <v>Einheit</v>
      </c>
      <c r="C8" s="114" t="str">
        <f ca="1">DFIE!$B$64</f>
        <v>CHF 1'000</v>
      </c>
      <c r="D8" s="35" t="str">
        <f ca="1">DFIE!$B$64</f>
        <v>CHF 1'000</v>
      </c>
      <c r="E8" s="113" t="str">
        <f ca="1">DFIE!$B$64</f>
        <v>CHF 1'000</v>
      </c>
      <c r="F8" s="35" t="str">
        <f ca="1">DFIE!$B$64</f>
        <v>CHF 1'000</v>
      </c>
      <c r="G8" s="35" t="str">
        <f ca="1">DFIE!$B$64</f>
        <v>CHF 1'000</v>
      </c>
      <c r="H8" s="113" t="str">
        <f ca="1">DFIE!$B$64</f>
        <v>CHF 1'000</v>
      </c>
      <c r="I8" s="36" t="str">
        <f ca="1">DFIE!$B$64</f>
        <v>CHF 1'000</v>
      </c>
      <c r="L8" s="604"/>
      <c r="M8" s="616"/>
      <c r="N8" s="616"/>
      <c r="O8" s="605"/>
    </row>
    <row r="9" spans="1:15" x14ac:dyDescent="0.25">
      <c r="A9" s="582" t="str">
        <f ca="1">DFIE!$B$73</f>
        <v>Bemessungsjahr 2020</v>
      </c>
      <c r="B9" s="31" t="str">
        <f ca="1">DFIE!$B$32</f>
        <v>Zürich</v>
      </c>
      <c r="C9" s="51">
        <v>0</v>
      </c>
      <c r="D9" s="51">
        <v>0</v>
      </c>
      <c r="E9" s="130">
        <f>$O$11*($D9-$C9)/$O$10</f>
        <v>0</v>
      </c>
      <c r="F9" s="51">
        <v>0</v>
      </c>
      <c r="G9" s="51">
        <v>0</v>
      </c>
      <c r="H9" s="130">
        <f>$O$12*($G9-$F9)/$O$10</f>
        <v>0</v>
      </c>
      <c r="I9" s="52">
        <v>171874.83349446999</v>
      </c>
      <c r="J9" s="41"/>
      <c r="L9" s="172"/>
      <c r="M9" s="173"/>
      <c r="N9" s="174"/>
      <c r="O9" s="167"/>
    </row>
    <row r="10" spans="1:15" x14ac:dyDescent="0.25">
      <c r="A10" s="582"/>
      <c r="B10" s="16" t="str">
        <f ca="1">DFIE!$B$33</f>
        <v>Bern</v>
      </c>
      <c r="C10" s="53">
        <v>0</v>
      </c>
      <c r="D10" s="53">
        <v>0</v>
      </c>
      <c r="E10" s="123">
        <f t="shared" ref="E10:E34" si="0">$O$11*($D10-$C10)/$O$10</f>
        <v>0</v>
      </c>
      <c r="F10" s="53">
        <v>0</v>
      </c>
      <c r="G10" s="53">
        <v>0</v>
      </c>
      <c r="H10" s="123">
        <f t="shared" ref="H10:H34" si="1">$O$12*($G10-$F10)/$O$10</f>
        <v>0</v>
      </c>
      <c r="I10" s="47">
        <v>-683097.67414792103</v>
      </c>
      <c r="J10" s="41"/>
      <c r="L10" s="175" t="s">
        <v>928</v>
      </c>
      <c r="M10" s="176" t="str">
        <f ca="1">DFIE!$B$164</f>
        <v>Kantonsanteil DBSt</v>
      </c>
      <c r="N10" s="177" t="str">
        <f ca="1">DFIE!$B$67</f>
        <v>Prozent</v>
      </c>
      <c r="O10" s="191">
        <v>0.21199999999999999</v>
      </c>
    </row>
    <row r="11" spans="1:15" x14ac:dyDescent="0.25">
      <c r="A11" s="582"/>
      <c r="B11" s="15" t="str">
        <f ca="1">DFIE!$B$34</f>
        <v>Luzern</v>
      </c>
      <c r="C11" s="54">
        <v>0</v>
      </c>
      <c r="D11" s="54">
        <v>0</v>
      </c>
      <c r="E11" s="122">
        <f t="shared" si="0"/>
        <v>0</v>
      </c>
      <c r="F11" s="54">
        <v>0</v>
      </c>
      <c r="G11" s="54">
        <v>0</v>
      </c>
      <c r="H11" s="122">
        <f t="shared" si="1"/>
        <v>0</v>
      </c>
      <c r="I11" s="48">
        <v>-20183.415524566699</v>
      </c>
      <c r="J11" s="41"/>
      <c r="L11" s="175" t="s">
        <v>929</v>
      </c>
      <c r="M11" s="176" t="str">
        <f ca="1">DFIE!$B$168</f>
        <v>Gewichtungsfaktor NP</v>
      </c>
      <c r="N11" s="178"/>
      <c r="O11" s="179"/>
    </row>
    <row r="12" spans="1:15" x14ac:dyDescent="0.25">
      <c r="A12" s="582"/>
      <c r="B12" s="16" t="str">
        <f ca="1">DFIE!$B$35</f>
        <v>Uri</v>
      </c>
      <c r="C12" s="53">
        <v>0</v>
      </c>
      <c r="D12" s="53">
        <v>0</v>
      </c>
      <c r="E12" s="123">
        <f t="shared" si="0"/>
        <v>0</v>
      </c>
      <c r="F12" s="53">
        <v>0</v>
      </c>
      <c r="G12" s="53">
        <v>0</v>
      </c>
      <c r="H12" s="123">
        <f t="shared" si="1"/>
        <v>0</v>
      </c>
      <c r="I12" s="47">
        <v>-3904.70621629673</v>
      </c>
      <c r="J12" s="41"/>
      <c r="L12" s="175" t="s">
        <v>930</v>
      </c>
      <c r="M12" s="176" t="str">
        <f ca="1">DFIE!$B$172</f>
        <v>Gewichtungsfaktor JP</v>
      </c>
      <c r="N12" s="178"/>
      <c r="O12" s="179"/>
    </row>
    <row r="13" spans="1:15" x14ac:dyDescent="0.25">
      <c r="A13" s="582"/>
      <c r="B13" s="15" t="str">
        <f ca="1">DFIE!$B$36</f>
        <v>Schwyz</v>
      </c>
      <c r="C13" s="54">
        <v>0</v>
      </c>
      <c r="D13" s="54">
        <v>0</v>
      </c>
      <c r="E13" s="122">
        <f t="shared" si="0"/>
        <v>0</v>
      </c>
      <c r="F13" s="54">
        <v>0</v>
      </c>
      <c r="G13" s="54">
        <v>0</v>
      </c>
      <c r="H13" s="122">
        <f t="shared" si="1"/>
        <v>0</v>
      </c>
      <c r="I13" s="48">
        <v>-6984.0493137876101</v>
      </c>
      <c r="J13" s="41"/>
      <c r="L13" s="180"/>
      <c r="M13" s="181"/>
      <c r="N13" s="182"/>
      <c r="O13" s="183"/>
    </row>
    <row r="14" spans="1:15" x14ac:dyDescent="0.25">
      <c r="A14" s="582"/>
      <c r="B14" s="16" t="str">
        <f ca="1">DFIE!$B$37</f>
        <v>Obwalden</v>
      </c>
      <c r="C14" s="53">
        <v>0</v>
      </c>
      <c r="D14" s="53">
        <v>0</v>
      </c>
      <c r="E14" s="123">
        <f t="shared" si="0"/>
        <v>0</v>
      </c>
      <c r="F14" s="53">
        <v>0</v>
      </c>
      <c r="G14" s="53">
        <v>0</v>
      </c>
      <c r="H14" s="123">
        <f t="shared" si="1"/>
        <v>0</v>
      </c>
      <c r="I14" s="47">
        <v>-1013.79139792208</v>
      </c>
      <c r="J14" s="41"/>
    </row>
    <row r="15" spans="1:15" x14ac:dyDescent="0.25">
      <c r="A15" s="582"/>
      <c r="B15" s="15" t="str">
        <f ca="1">DFIE!$B$38</f>
        <v>Nidwalden</v>
      </c>
      <c r="C15" s="54">
        <v>0</v>
      </c>
      <c r="D15" s="54">
        <v>0</v>
      </c>
      <c r="E15" s="122">
        <f t="shared" si="0"/>
        <v>0</v>
      </c>
      <c r="F15" s="54">
        <v>0</v>
      </c>
      <c r="G15" s="54">
        <v>0</v>
      </c>
      <c r="H15" s="122">
        <f t="shared" si="1"/>
        <v>0</v>
      </c>
      <c r="I15" s="48">
        <v>240.513377458371</v>
      </c>
      <c r="J15" s="41"/>
    </row>
    <row r="16" spans="1:15" x14ac:dyDescent="0.25">
      <c r="A16" s="582"/>
      <c r="B16" s="16" t="str">
        <f ca="1">DFIE!$B$39</f>
        <v>Glarus</v>
      </c>
      <c r="C16" s="53">
        <v>0</v>
      </c>
      <c r="D16" s="53">
        <v>0</v>
      </c>
      <c r="E16" s="123">
        <f t="shared" si="0"/>
        <v>0</v>
      </c>
      <c r="F16" s="53">
        <v>0</v>
      </c>
      <c r="G16" s="53">
        <v>0</v>
      </c>
      <c r="H16" s="123">
        <f t="shared" si="1"/>
        <v>0</v>
      </c>
      <c r="I16" s="47">
        <v>3767.09726438899</v>
      </c>
      <c r="J16" s="41"/>
    </row>
    <row r="17" spans="1:10" x14ac:dyDescent="0.25">
      <c r="A17" s="582"/>
      <c r="B17" s="15" t="str">
        <f ca="1">DFIE!$B$40</f>
        <v>Zug</v>
      </c>
      <c r="C17" s="54">
        <v>0</v>
      </c>
      <c r="D17" s="54">
        <v>0</v>
      </c>
      <c r="E17" s="122">
        <f t="shared" si="0"/>
        <v>0</v>
      </c>
      <c r="F17" s="54">
        <v>0</v>
      </c>
      <c r="G17" s="54">
        <v>0</v>
      </c>
      <c r="H17" s="122">
        <f t="shared" si="1"/>
        <v>0</v>
      </c>
      <c r="I17" s="48">
        <v>3674.1103989154199</v>
      </c>
      <c r="J17" s="41"/>
    </row>
    <row r="18" spans="1:10" x14ac:dyDescent="0.25">
      <c r="A18" s="582"/>
      <c r="B18" s="16" t="str">
        <f ca="1">DFIE!$B$41</f>
        <v>Freiburg</v>
      </c>
      <c r="C18" s="53">
        <v>0</v>
      </c>
      <c r="D18" s="53">
        <v>0</v>
      </c>
      <c r="E18" s="123">
        <f t="shared" si="0"/>
        <v>0</v>
      </c>
      <c r="F18" s="53">
        <v>0</v>
      </c>
      <c r="G18" s="53">
        <v>0</v>
      </c>
      <c r="H18" s="123">
        <f t="shared" si="1"/>
        <v>0</v>
      </c>
      <c r="I18" s="47">
        <v>-18983.683388785099</v>
      </c>
      <c r="J18" s="41"/>
    </row>
    <row r="19" spans="1:10" x14ac:dyDescent="0.25">
      <c r="A19" s="582"/>
      <c r="B19" s="15" t="str">
        <f ca="1">DFIE!$B$42</f>
        <v>Solothurn</v>
      </c>
      <c r="C19" s="54">
        <v>0</v>
      </c>
      <c r="D19" s="54">
        <v>0</v>
      </c>
      <c r="E19" s="122">
        <f t="shared" si="0"/>
        <v>0</v>
      </c>
      <c r="F19" s="54">
        <v>0</v>
      </c>
      <c r="G19" s="54">
        <v>0</v>
      </c>
      <c r="H19" s="122">
        <f t="shared" si="1"/>
        <v>0</v>
      </c>
      <c r="I19" s="48">
        <v>-482.97774828984802</v>
      </c>
      <c r="J19" s="41"/>
    </row>
    <row r="20" spans="1:10" x14ac:dyDescent="0.25">
      <c r="A20" s="582"/>
      <c r="B20" s="16" t="str">
        <f ca="1">DFIE!$B$43</f>
        <v>Basel-Stadt</v>
      </c>
      <c r="C20" s="53">
        <v>0</v>
      </c>
      <c r="D20" s="53">
        <v>0</v>
      </c>
      <c r="E20" s="123">
        <f t="shared" si="0"/>
        <v>0</v>
      </c>
      <c r="F20" s="53">
        <v>0</v>
      </c>
      <c r="G20" s="53">
        <v>0</v>
      </c>
      <c r="H20" s="123">
        <f t="shared" si="1"/>
        <v>0</v>
      </c>
      <c r="I20" s="47">
        <v>-13127.3071706312</v>
      </c>
      <c r="J20" s="41"/>
    </row>
    <row r="21" spans="1:10" x14ac:dyDescent="0.25">
      <c r="A21" s="582"/>
      <c r="B21" s="15" t="str">
        <f ca="1">DFIE!$B$44</f>
        <v>Basel-Landschaft</v>
      </c>
      <c r="C21" s="54">
        <v>0</v>
      </c>
      <c r="D21" s="54">
        <v>0</v>
      </c>
      <c r="E21" s="122">
        <f t="shared" si="0"/>
        <v>0</v>
      </c>
      <c r="F21" s="54">
        <v>0</v>
      </c>
      <c r="G21" s="54">
        <v>0</v>
      </c>
      <c r="H21" s="122">
        <f t="shared" si="1"/>
        <v>0</v>
      </c>
      <c r="I21" s="48">
        <v>-20448.788492555901</v>
      </c>
      <c r="J21" s="41"/>
    </row>
    <row r="22" spans="1:10" x14ac:dyDescent="0.25">
      <c r="A22" s="582"/>
      <c r="B22" s="16" t="str">
        <f ca="1">DFIE!$B$45</f>
        <v>Schaffhausen</v>
      </c>
      <c r="C22" s="53">
        <v>0</v>
      </c>
      <c r="D22" s="53">
        <v>0</v>
      </c>
      <c r="E22" s="123">
        <f t="shared" si="0"/>
        <v>0</v>
      </c>
      <c r="F22" s="53">
        <v>0</v>
      </c>
      <c r="G22" s="53">
        <v>0</v>
      </c>
      <c r="H22" s="123">
        <f t="shared" si="1"/>
        <v>0</v>
      </c>
      <c r="I22" s="47">
        <v>14811.5075105464</v>
      </c>
      <c r="J22" s="41"/>
    </row>
    <row r="23" spans="1:10" x14ac:dyDescent="0.25">
      <c r="A23" s="582"/>
      <c r="B23" s="15" t="str">
        <f ca="1">DFIE!$B$46</f>
        <v>Appenzell A.Rh.</v>
      </c>
      <c r="C23" s="54">
        <v>0</v>
      </c>
      <c r="D23" s="54">
        <v>0</v>
      </c>
      <c r="E23" s="122">
        <f t="shared" si="0"/>
        <v>0</v>
      </c>
      <c r="F23" s="54">
        <v>0</v>
      </c>
      <c r="G23" s="54">
        <v>0</v>
      </c>
      <c r="H23" s="122">
        <f t="shared" si="1"/>
        <v>0</v>
      </c>
      <c r="I23" s="48">
        <v>7565.9633810291698</v>
      </c>
      <c r="J23" s="41"/>
    </row>
    <row r="24" spans="1:10" x14ac:dyDescent="0.25">
      <c r="A24" s="582"/>
      <c r="B24" s="16" t="str">
        <f ca="1">DFIE!$B$47</f>
        <v>Appenzell I.Rh.</v>
      </c>
      <c r="C24" s="53">
        <v>0</v>
      </c>
      <c r="D24" s="53">
        <v>0</v>
      </c>
      <c r="E24" s="123">
        <f t="shared" si="0"/>
        <v>0</v>
      </c>
      <c r="F24" s="53">
        <v>0</v>
      </c>
      <c r="G24" s="53">
        <v>0</v>
      </c>
      <c r="H24" s="123">
        <f t="shared" si="1"/>
        <v>0</v>
      </c>
      <c r="I24" s="47">
        <v>697.39300149348503</v>
      </c>
      <c r="J24" s="41"/>
    </row>
    <row r="25" spans="1:10" x14ac:dyDescent="0.25">
      <c r="A25" s="582"/>
      <c r="B25" s="15" t="str">
        <f ca="1">DFIE!$B$48</f>
        <v>St. Gallen</v>
      </c>
      <c r="C25" s="54">
        <v>0</v>
      </c>
      <c r="D25" s="54">
        <v>0</v>
      </c>
      <c r="E25" s="122">
        <f t="shared" si="0"/>
        <v>0</v>
      </c>
      <c r="F25" s="54">
        <v>0</v>
      </c>
      <c r="G25" s="54">
        <v>0</v>
      </c>
      <c r="H25" s="122">
        <f t="shared" si="1"/>
        <v>0</v>
      </c>
      <c r="I25" s="48">
        <v>14265.1943140809</v>
      </c>
      <c r="J25" s="41"/>
    </row>
    <row r="26" spans="1:10" x14ac:dyDescent="0.25">
      <c r="A26" s="582"/>
      <c r="B26" s="16" t="str">
        <f ca="1">DFIE!$B$49</f>
        <v>Graubünden</v>
      </c>
      <c r="C26" s="53">
        <v>0</v>
      </c>
      <c r="D26" s="53">
        <v>0</v>
      </c>
      <c r="E26" s="123">
        <f t="shared" si="0"/>
        <v>0</v>
      </c>
      <c r="F26" s="53">
        <v>0</v>
      </c>
      <c r="G26" s="53">
        <v>0</v>
      </c>
      <c r="H26" s="123">
        <f t="shared" si="1"/>
        <v>0</v>
      </c>
      <c r="I26" s="47">
        <v>76734.916237422804</v>
      </c>
      <c r="J26" s="41"/>
    </row>
    <row r="27" spans="1:10" x14ac:dyDescent="0.25">
      <c r="A27" s="582"/>
      <c r="B27" s="15" t="str">
        <f ca="1">DFIE!$B$50</f>
        <v>Aargau</v>
      </c>
      <c r="C27" s="54">
        <v>0</v>
      </c>
      <c r="D27" s="54">
        <v>0</v>
      </c>
      <c r="E27" s="122">
        <f t="shared" si="0"/>
        <v>0</v>
      </c>
      <c r="F27" s="54">
        <v>0</v>
      </c>
      <c r="G27" s="54">
        <v>0</v>
      </c>
      <c r="H27" s="122">
        <f t="shared" si="1"/>
        <v>0</v>
      </c>
      <c r="I27" s="48">
        <v>39548.119410634798</v>
      </c>
      <c r="J27" s="41"/>
    </row>
    <row r="28" spans="1:10" x14ac:dyDescent="0.25">
      <c r="A28" s="582"/>
      <c r="B28" s="16" t="str">
        <f ca="1">DFIE!$B$51</f>
        <v>Thurgau</v>
      </c>
      <c r="C28" s="53">
        <v>0</v>
      </c>
      <c r="D28" s="53">
        <v>0</v>
      </c>
      <c r="E28" s="123">
        <f t="shared" si="0"/>
        <v>0</v>
      </c>
      <c r="F28" s="53">
        <v>0</v>
      </c>
      <c r="G28" s="53">
        <v>0</v>
      </c>
      <c r="H28" s="123">
        <f t="shared" si="1"/>
        <v>0</v>
      </c>
      <c r="I28" s="47">
        <v>2960.1101463106302</v>
      </c>
      <c r="J28" s="41"/>
    </row>
    <row r="29" spans="1:10" x14ac:dyDescent="0.25">
      <c r="A29" s="582"/>
      <c r="B29" s="15" t="str">
        <f ca="1">DFIE!$B$52</f>
        <v>Tessin</v>
      </c>
      <c r="C29" s="54">
        <v>0</v>
      </c>
      <c r="D29" s="54">
        <v>0</v>
      </c>
      <c r="E29" s="122">
        <f t="shared" si="0"/>
        <v>0</v>
      </c>
      <c r="F29" s="54">
        <v>0</v>
      </c>
      <c r="G29" s="54">
        <v>0</v>
      </c>
      <c r="H29" s="122">
        <f t="shared" si="1"/>
        <v>0</v>
      </c>
      <c r="I29" s="48">
        <v>54772.064751609498</v>
      </c>
      <c r="J29" s="41"/>
    </row>
    <row r="30" spans="1:10" x14ac:dyDescent="0.25">
      <c r="A30" s="582"/>
      <c r="B30" s="16" t="str">
        <f ca="1">DFIE!$B$53</f>
        <v>Waadt</v>
      </c>
      <c r="C30" s="53">
        <v>0</v>
      </c>
      <c r="D30" s="53">
        <v>0</v>
      </c>
      <c r="E30" s="123">
        <f t="shared" si="0"/>
        <v>0</v>
      </c>
      <c r="F30" s="53">
        <v>0</v>
      </c>
      <c r="G30" s="53">
        <v>0</v>
      </c>
      <c r="H30" s="123">
        <f t="shared" si="1"/>
        <v>0</v>
      </c>
      <c r="I30" s="47">
        <v>-183251.91034724499</v>
      </c>
      <c r="J30" s="41"/>
    </row>
    <row r="31" spans="1:10" x14ac:dyDescent="0.25">
      <c r="A31" s="582"/>
      <c r="B31" s="15" t="str">
        <f ca="1">DFIE!$B$54</f>
        <v>Wallis</v>
      </c>
      <c r="C31" s="54">
        <v>0</v>
      </c>
      <c r="D31" s="54">
        <v>0</v>
      </c>
      <c r="E31" s="122">
        <f t="shared" si="0"/>
        <v>0</v>
      </c>
      <c r="F31" s="54">
        <v>0</v>
      </c>
      <c r="G31" s="54">
        <v>0</v>
      </c>
      <c r="H31" s="122">
        <f t="shared" si="1"/>
        <v>0</v>
      </c>
      <c r="I31" s="48">
        <v>100633.54575973</v>
      </c>
      <c r="J31" s="41"/>
    </row>
    <row r="32" spans="1:10" x14ac:dyDescent="0.25">
      <c r="A32" s="582"/>
      <c r="B32" s="16" t="str">
        <f ca="1">DFIE!$B$55</f>
        <v>Neuenburg</v>
      </c>
      <c r="C32" s="53">
        <v>0</v>
      </c>
      <c r="D32" s="53">
        <v>0</v>
      </c>
      <c r="E32" s="123">
        <f t="shared" si="0"/>
        <v>0</v>
      </c>
      <c r="F32" s="53">
        <v>0</v>
      </c>
      <c r="G32" s="53">
        <v>0</v>
      </c>
      <c r="H32" s="123">
        <f t="shared" si="1"/>
        <v>0</v>
      </c>
      <c r="I32" s="47">
        <v>404731.26572485798</v>
      </c>
      <c r="J32" s="41"/>
    </row>
    <row r="33" spans="1:15" x14ac:dyDescent="0.25">
      <c r="A33" s="582"/>
      <c r="B33" s="15" t="str">
        <f ca="1">DFIE!$B$56</f>
        <v>Genf</v>
      </c>
      <c r="C33" s="54">
        <v>0</v>
      </c>
      <c r="D33" s="54">
        <v>0</v>
      </c>
      <c r="E33" s="122">
        <f t="shared" si="0"/>
        <v>0</v>
      </c>
      <c r="F33" s="54">
        <v>0</v>
      </c>
      <c r="G33" s="54">
        <v>0</v>
      </c>
      <c r="H33" s="122">
        <f t="shared" si="1"/>
        <v>0</v>
      </c>
      <c r="I33" s="48">
        <v>32020.564053787701</v>
      </c>
      <c r="J33" s="41"/>
    </row>
    <row r="34" spans="1:15" x14ac:dyDescent="0.25">
      <c r="A34" s="582"/>
      <c r="B34" s="16" t="str">
        <f ca="1">DFIE!$B$57</f>
        <v>Jura</v>
      </c>
      <c r="C34" s="53">
        <v>0</v>
      </c>
      <c r="D34" s="53">
        <v>0</v>
      </c>
      <c r="E34" s="123">
        <f t="shared" si="0"/>
        <v>0</v>
      </c>
      <c r="F34" s="53">
        <v>0</v>
      </c>
      <c r="G34" s="53">
        <v>0</v>
      </c>
      <c r="H34" s="123">
        <f t="shared" si="1"/>
        <v>0</v>
      </c>
      <c r="I34" s="47">
        <v>3820.5850527849402</v>
      </c>
      <c r="J34" s="41"/>
    </row>
    <row r="35" spans="1:15" x14ac:dyDescent="0.25">
      <c r="A35" s="582"/>
      <c r="B35" s="14" t="str">
        <f ca="1">DFIE!$B$58</f>
        <v>Schweiz</v>
      </c>
      <c r="C35" s="55">
        <f>SUM(C9:C34)</f>
        <v>0</v>
      </c>
      <c r="D35" s="55">
        <f>SUM(D9:D34)</f>
        <v>0</v>
      </c>
      <c r="E35" s="124">
        <f>ROUND(SUM(E9:E34),5)</f>
        <v>0</v>
      </c>
      <c r="F35" s="55">
        <f>SUM(F9:F34)</f>
        <v>0</v>
      </c>
      <c r="G35" s="55">
        <f>SUM(G9:G34)</f>
        <v>0</v>
      </c>
      <c r="H35" s="124">
        <f>ROUND(SUM(H9:H34),5)</f>
        <v>0</v>
      </c>
      <c r="I35" s="49">
        <f>ROUND(SUM(I9:I34),6)</f>
        <v>-19360.519867999999</v>
      </c>
      <c r="J35" s="42"/>
    </row>
    <row r="36" spans="1:15" ht="15" customHeight="1" x14ac:dyDescent="0.25">
      <c r="A36" s="65"/>
      <c r="B36" s="78"/>
      <c r="C36" s="129"/>
      <c r="D36" s="129"/>
      <c r="E36" s="129"/>
      <c r="F36" s="129"/>
      <c r="G36" s="129"/>
      <c r="H36" s="78"/>
      <c r="I36" s="129"/>
    </row>
    <row r="37" spans="1:15" x14ac:dyDescent="0.25">
      <c r="A37" s="583" t="str">
        <f ca="1">DFIE!$B$74</f>
        <v>Bemessungsjahr 2021</v>
      </c>
      <c r="B37" s="31" t="str">
        <f ca="1">DFIE!$B$32</f>
        <v>Zürich</v>
      </c>
      <c r="C37" s="51">
        <v>0</v>
      </c>
      <c r="D37" s="51">
        <v>0</v>
      </c>
      <c r="E37" s="130">
        <f>$O$39*($D37-$C37)/$O$38</f>
        <v>0</v>
      </c>
      <c r="F37" s="51">
        <v>0</v>
      </c>
      <c r="G37" s="51">
        <v>0</v>
      </c>
      <c r="H37" s="130">
        <f>$O$40*($G37-$F37)/$O$38</f>
        <v>0</v>
      </c>
      <c r="I37" s="52">
        <v>-194151.86103176701</v>
      </c>
      <c r="J37" s="43"/>
      <c r="L37" s="172"/>
      <c r="M37" s="173"/>
      <c r="N37" s="174"/>
      <c r="O37" s="167"/>
    </row>
    <row r="38" spans="1:15" x14ac:dyDescent="0.25">
      <c r="A38" s="583"/>
      <c r="B38" s="16" t="str">
        <f ca="1">DFIE!$B$33</f>
        <v>Bern</v>
      </c>
      <c r="C38" s="53">
        <v>0</v>
      </c>
      <c r="D38" s="53">
        <v>0</v>
      </c>
      <c r="E38" s="123">
        <f t="shared" ref="E38:E62" si="2">$O$39*($D38-$C38)/$O$38</f>
        <v>0</v>
      </c>
      <c r="F38" s="53">
        <v>0</v>
      </c>
      <c r="G38" s="53">
        <v>0</v>
      </c>
      <c r="H38" s="123">
        <f t="shared" ref="H38:H62" si="3">$O$40*($G38-$F38)/$O$38</f>
        <v>0</v>
      </c>
      <c r="I38" s="47">
        <v>-13191.3647479018</v>
      </c>
      <c r="J38" s="43"/>
      <c r="L38" s="175" t="s">
        <v>928</v>
      </c>
      <c r="M38" s="176" t="str">
        <f ca="1">DFIE!$B$164</f>
        <v>Kantonsanteil DBSt</v>
      </c>
      <c r="N38" s="177" t="str">
        <f ca="1">DFIE!$B$67</f>
        <v>Prozent</v>
      </c>
      <c r="O38" s="191">
        <v>0.21199999999999999</v>
      </c>
    </row>
    <row r="39" spans="1:15" x14ac:dyDescent="0.25">
      <c r="A39" s="583"/>
      <c r="B39" s="15" t="str">
        <f ca="1">DFIE!$B$34</f>
        <v>Luzern</v>
      </c>
      <c r="C39" s="54">
        <v>0</v>
      </c>
      <c r="D39" s="54">
        <v>0</v>
      </c>
      <c r="E39" s="122">
        <f t="shared" si="2"/>
        <v>0</v>
      </c>
      <c r="F39" s="54">
        <v>0</v>
      </c>
      <c r="G39" s="54">
        <v>0</v>
      </c>
      <c r="H39" s="122">
        <f t="shared" si="3"/>
        <v>0</v>
      </c>
      <c r="I39" s="48">
        <v>-55584.954379435701</v>
      </c>
      <c r="J39" s="43"/>
      <c r="L39" s="175" t="s">
        <v>929</v>
      </c>
      <c r="M39" s="176" t="str">
        <f ca="1">DFIE!$B$168</f>
        <v>Gewichtungsfaktor NP</v>
      </c>
      <c r="N39" s="178"/>
      <c r="O39" s="179"/>
    </row>
    <row r="40" spans="1:15" x14ac:dyDescent="0.25">
      <c r="A40" s="583"/>
      <c r="B40" s="16" t="str">
        <f ca="1">DFIE!$B$35</f>
        <v>Uri</v>
      </c>
      <c r="C40" s="53">
        <v>0</v>
      </c>
      <c r="D40" s="53">
        <v>0</v>
      </c>
      <c r="E40" s="123">
        <f t="shared" si="2"/>
        <v>0</v>
      </c>
      <c r="F40" s="53">
        <v>0</v>
      </c>
      <c r="G40" s="53">
        <v>0</v>
      </c>
      <c r="H40" s="123">
        <f t="shared" si="3"/>
        <v>0</v>
      </c>
      <c r="I40" s="47">
        <v>4525.5591481169004</v>
      </c>
      <c r="J40" s="43"/>
      <c r="L40" s="175" t="s">
        <v>930</v>
      </c>
      <c r="M40" s="176" t="str">
        <f ca="1">DFIE!$B$172</f>
        <v>Gewichtungsfaktor JP</v>
      </c>
      <c r="N40" s="178"/>
      <c r="O40" s="179"/>
    </row>
    <row r="41" spans="1:15" x14ac:dyDescent="0.25">
      <c r="A41" s="583"/>
      <c r="B41" s="15" t="str">
        <f ca="1">DFIE!$B$36</f>
        <v>Schwyz</v>
      </c>
      <c r="C41" s="54">
        <v>0</v>
      </c>
      <c r="D41" s="54">
        <v>0</v>
      </c>
      <c r="E41" s="122">
        <f t="shared" si="2"/>
        <v>0</v>
      </c>
      <c r="F41" s="54">
        <v>0</v>
      </c>
      <c r="G41" s="54">
        <v>0</v>
      </c>
      <c r="H41" s="122">
        <f t="shared" si="3"/>
        <v>0</v>
      </c>
      <c r="I41" s="48">
        <v>-1998.23125405937</v>
      </c>
      <c r="J41" s="43"/>
      <c r="L41" s="180"/>
      <c r="M41" s="181"/>
      <c r="N41" s="182"/>
      <c r="O41" s="183"/>
    </row>
    <row r="42" spans="1:15" x14ac:dyDescent="0.25">
      <c r="A42" s="583"/>
      <c r="B42" s="16" t="str">
        <f ca="1">DFIE!$B$37</f>
        <v>Obwalden</v>
      </c>
      <c r="C42" s="53">
        <v>0</v>
      </c>
      <c r="D42" s="53">
        <v>0</v>
      </c>
      <c r="E42" s="123">
        <f t="shared" si="2"/>
        <v>0</v>
      </c>
      <c r="F42" s="53">
        <v>0</v>
      </c>
      <c r="G42" s="53">
        <v>0</v>
      </c>
      <c r="H42" s="123">
        <f t="shared" si="3"/>
        <v>0</v>
      </c>
      <c r="I42" s="47">
        <v>-7070.4706874561198</v>
      </c>
      <c r="J42" s="43"/>
    </row>
    <row r="43" spans="1:15" x14ac:dyDescent="0.25">
      <c r="A43" s="583"/>
      <c r="B43" s="15" t="str">
        <f ca="1">DFIE!$B$38</f>
        <v>Nidwalden</v>
      </c>
      <c r="C43" s="54">
        <v>0</v>
      </c>
      <c r="D43" s="54">
        <v>0</v>
      </c>
      <c r="E43" s="122">
        <f t="shared" si="2"/>
        <v>0</v>
      </c>
      <c r="F43" s="54">
        <v>0</v>
      </c>
      <c r="G43" s="54">
        <v>0</v>
      </c>
      <c r="H43" s="122">
        <f t="shared" si="3"/>
        <v>0</v>
      </c>
      <c r="I43" s="48">
        <v>-28546.4165640504</v>
      </c>
      <c r="J43" s="43"/>
    </row>
    <row r="44" spans="1:15" x14ac:dyDescent="0.25">
      <c r="A44" s="583"/>
      <c r="B44" s="16" t="str">
        <f ca="1">DFIE!$B$39</f>
        <v>Glarus</v>
      </c>
      <c r="C44" s="53">
        <v>0</v>
      </c>
      <c r="D44" s="53">
        <v>0</v>
      </c>
      <c r="E44" s="123">
        <f t="shared" si="2"/>
        <v>0</v>
      </c>
      <c r="F44" s="53">
        <v>0</v>
      </c>
      <c r="G44" s="53">
        <v>0</v>
      </c>
      <c r="H44" s="123">
        <f t="shared" si="3"/>
        <v>0</v>
      </c>
      <c r="I44" s="47">
        <v>5199.9935978090798</v>
      </c>
      <c r="J44" s="43"/>
    </row>
    <row r="45" spans="1:15" x14ac:dyDescent="0.25">
      <c r="A45" s="583"/>
      <c r="B45" s="15" t="str">
        <f ca="1">DFIE!$B$40</f>
        <v>Zug</v>
      </c>
      <c r="C45" s="54">
        <v>0</v>
      </c>
      <c r="D45" s="54">
        <v>0</v>
      </c>
      <c r="E45" s="122">
        <f t="shared" si="2"/>
        <v>0</v>
      </c>
      <c r="F45" s="54">
        <v>0</v>
      </c>
      <c r="G45" s="54">
        <v>0</v>
      </c>
      <c r="H45" s="122">
        <f t="shared" si="3"/>
        <v>0</v>
      </c>
      <c r="I45" s="48">
        <v>25475.0908865079</v>
      </c>
      <c r="J45" s="43"/>
    </row>
    <row r="46" spans="1:15" x14ac:dyDescent="0.25">
      <c r="A46" s="583"/>
      <c r="B46" s="16" t="str">
        <f ca="1">DFIE!$B$41</f>
        <v>Freiburg</v>
      </c>
      <c r="C46" s="53">
        <v>0</v>
      </c>
      <c r="D46" s="53">
        <v>0</v>
      </c>
      <c r="E46" s="123">
        <f t="shared" si="2"/>
        <v>0</v>
      </c>
      <c r="F46" s="53">
        <v>0</v>
      </c>
      <c r="G46" s="53">
        <v>0</v>
      </c>
      <c r="H46" s="123">
        <f t="shared" si="3"/>
        <v>0</v>
      </c>
      <c r="I46" s="47">
        <v>-62892.704615762297</v>
      </c>
      <c r="J46" s="43"/>
    </row>
    <row r="47" spans="1:15" x14ac:dyDescent="0.25">
      <c r="A47" s="583"/>
      <c r="B47" s="15" t="str">
        <f ca="1">DFIE!$B$42</f>
        <v>Solothurn</v>
      </c>
      <c r="C47" s="54">
        <v>0</v>
      </c>
      <c r="D47" s="54">
        <v>0</v>
      </c>
      <c r="E47" s="122">
        <f t="shared" si="2"/>
        <v>0</v>
      </c>
      <c r="F47" s="54">
        <v>0</v>
      </c>
      <c r="G47" s="54">
        <v>0</v>
      </c>
      <c r="H47" s="122">
        <f t="shared" si="3"/>
        <v>0</v>
      </c>
      <c r="I47" s="48">
        <v>11943.1030722049</v>
      </c>
      <c r="J47" s="43"/>
    </row>
    <row r="48" spans="1:15" x14ac:dyDescent="0.25">
      <c r="A48" s="583"/>
      <c r="B48" s="16" t="str">
        <f ca="1">DFIE!$B$43</f>
        <v>Basel-Stadt</v>
      </c>
      <c r="C48" s="53">
        <v>0</v>
      </c>
      <c r="D48" s="53">
        <v>0</v>
      </c>
      <c r="E48" s="123">
        <f t="shared" si="2"/>
        <v>0</v>
      </c>
      <c r="F48" s="53">
        <v>0</v>
      </c>
      <c r="G48" s="53">
        <v>0</v>
      </c>
      <c r="H48" s="123">
        <f t="shared" si="3"/>
        <v>0</v>
      </c>
      <c r="I48" s="47">
        <v>-43835.295174227802</v>
      </c>
      <c r="J48" s="43"/>
    </row>
    <row r="49" spans="1:10" x14ac:dyDescent="0.25">
      <c r="A49" s="583"/>
      <c r="B49" s="15" t="str">
        <f ca="1">DFIE!$B$44</f>
        <v>Basel-Landschaft</v>
      </c>
      <c r="C49" s="54">
        <v>0</v>
      </c>
      <c r="D49" s="54">
        <v>0</v>
      </c>
      <c r="E49" s="122">
        <f t="shared" si="2"/>
        <v>0</v>
      </c>
      <c r="F49" s="54">
        <v>0</v>
      </c>
      <c r="G49" s="54">
        <v>0</v>
      </c>
      <c r="H49" s="122">
        <f t="shared" si="3"/>
        <v>0</v>
      </c>
      <c r="I49" s="48">
        <v>-10960.5547580615</v>
      </c>
      <c r="J49" s="43"/>
    </row>
    <row r="50" spans="1:10" x14ac:dyDescent="0.25">
      <c r="A50" s="583"/>
      <c r="B50" s="16" t="str">
        <f ca="1">DFIE!$B$45</f>
        <v>Schaffhausen</v>
      </c>
      <c r="C50" s="53">
        <v>0</v>
      </c>
      <c r="D50" s="53">
        <v>0</v>
      </c>
      <c r="E50" s="123">
        <f t="shared" si="2"/>
        <v>0</v>
      </c>
      <c r="F50" s="53">
        <v>0</v>
      </c>
      <c r="G50" s="53">
        <v>0</v>
      </c>
      <c r="H50" s="123">
        <f t="shared" si="3"/>
        <v>0</v>
      </c>
      <c r="I50" s="47">
        <v>11996.409202962101</v>
      </c>
      <c r="J50" s="43"/>
    </row>
    <row r="51" spans="1:10" x14ac:dyDescent="0.25">
      <c r="A51" s="583"/>
      <c r="B51" s="15" t="str">
        <f ca="1">DFIE!$B$46</f>
        <v>Appenzell A.Rh.</v>
      </c>
      <c r="C51" s="54">
        <v>0</v>
      </c>
      <c r="D51" s="54">
        <v>0</v>
      </c>
      <c r="E51" s="122">
        <f t="shared" si="2"/>
        <v>0</v>
      </c>
      <c r="F51" s="54">
        <v>0</v>
      </c>
      <c r="G51" s="54">
        <v>0</v>
      </c>
      <c r="H51" s="122">
        <f t="shared" si="3"/>
        <v>0</v>
      </c>
      <c r="I51" s="48">
        <v>-26009.620604867599</v>
      </c>
      <c r="J51" s="43"/>
    </row>
    <row r="52" spans="1:10" x14ac:dyDescent="0.25">
      <c r="A52" s="583"/>
      <c r="B52" s="16" t="str">
        <f ca="1">DFIE!$B$47</f>
        <v>Appenzell I.Rh.</v>
      </c>
      <c r="C52" s="53">
        <v>0</v>
      </c>
      <c r="D52" s="53">
        <v>0</v>
      </c>
      <c r="E52" s="123">
        <f t="shared" si="2"/>
        <v>0</v>
      </c>
      <c r="F52" s="53">
        <v>0</v>
      </c>
      <c r="G52" s="53">
        <v>0</v>
      </c>
      <c r="H52" s="123">
        <f t="shared" si="3"/>
        <v>0</v>
      </c>
      <c r="I52" s="47">
        <v>2265.25473043488</v>
      </c>
      <c r="J52" s="43"/>
    </row>
    <row r="53" spans="1:10" x14ac:dyDescent="0.25">
      <c r="A53" s="583"/>
      <c r="B53" s="15" t="str">
        <f ca="1">DFIE!$B$48</f>
        <v>St. Gallen</v>
      </c>
      <c r="C53" s="54">
        <v>0</v>
      </c>
      <c r="D53" s="54">
        <v>0</v>
      </c>
      <c r="E53" s="122">
        <f t="shared" si="2"/>
        <v>0</v>
      </c>
      <c r="F53" s="54">
        <v>0</v>
      </c>
      <c r="G53" s="54">
        <v>0</v>
      </c>
      <c r="H53" s="122">
        <f t="shared" si="3"/>
        <v>0</v>
      </c>
      <c r="I53" s="48">
        <v>13526.748406967299</v>
      </c>
      <c r="J53" s="43"/>
    </row>
    <row r="54" spans="1:10" x14ac:dyDescent="0.25">
      <c r="A54" s="583"/>
      <c r="B54" s="16" t="str">
        <f ca="1">DFIE!$B$49</f>
        <v>Graubünden</v>
      </c>
      <c r="C54" s="53">
        <v>0</v>
      </c>
      <c r="D54" s="53">
        <v>0</v>
      </c>
      <c r="E54" s="123">
        <f t="shared" si="2"/>
        <v>0</v>
      </c>
      <c r="F54" s="53">
        <v>0</v>
      </c>
      <c r="G54" s="53">
        <v>0</v>
      </c>
      <c r="H54" s="123">
        <f t="shared" si="3"/>
        <v>0</v>
      </c>
      <c r="I54" s="47">
        <v>79309.551845006499</v>
      </c>
      <c r="J54" s="43"/>
    </row>
    <row r="55" spans="1:10" x14ac:dyDescent="0.25">
      <c r="A55" s="583"/>
      <c r="B55" s="15" t="str">
        <f ca="1">DFIE!$B$50</f>
        <v>Aargau</v>
      </c>
      <c r="C55" s="54">
        <v>0</v>
      </c>
      <c r="D55" s="54">
        <v>0</v>
      </c>
      <c r="E55" s="122">
        <f t="shared" si="2"/>
        <v>0</v>
      </c>
      <c r="F55" s="54">
        <v>0</v>
      </c>
      <c r="G55" s="54">
        <v>0</v>
      </c>
      <c r="H55" s="122">
        <f t="shared" si="3"/>
        <v>0</v>
      </c>
      <c r="I55" s="48">
        <v>39976.844224296197</v>
      </c>
      <c r="J55" s="43"/>
    </row>
    <row r="56" spans="1:10" x14ac:dyDescent="0.25">
      <c r="A56" s="583"/>
      <c r="B56" s="16" t="str">
        <f ca="1">DFIE!$B$51</f>
        <v>Thurgau</v>
      </c>
      <c r="C56" s="53">
        <v>0</v>
      </c>
      <c r="D56" s="53">
        <v>0</v>
      </c>
      <c r="E56" s="123">
        <f t="shared" si="2"/>
        <v>0</v>
      </c>
      <c r="F56" s="53">
        <v>0</v>
      </c>
      <c r="G56" s="53">
        <v>0</v>
      </c>
      <c r="H56" s="123">
        <f t="shared" si="3"/>
        <v>0</v>
      </c>
      <c r="I56" s="47">
        <v>-888.57715166161802</v>
      </c>
      <c r="J56" s="43"/>
    </row>
    <row r="57" spans="1:10" x14ac:dyDescent="0.25">
      <c r="A57" s="583"/>
      <c r="B57" s="15" t="str">
        <f ca="1">DFIE!$B$52</f>
        <v>Tessin</v>
      </c>
      <c r="C57" s="54">
        <v>0</v>
      </c>
      <c r="D57" s="54">
        <v>0</v>
      </c>
      <c r="E57" s="122">
        <f t="shared" si="2"/>
        <v>0</v>
      </c>
      <c r="F57" s="54">
        <v>0</v>
      </c>
      <c r="G57" s="54">
        <v>0</v>
      </c>
      <c r="H57" s="122">
        <f t="shared" si="3"/>
        <v>0</v>
      </c>
      <c r="I57" s="48">
        <v>72492.312097747505</v>
      </c>
      <c r="J57" s="43"/>
    </row>
    <row r="58" spans="1:10" x14ac:dyDescent="0.25">
      <c r="A58" s="583"/>
      <c r="B58" s="16" t="str">
        <f ca="1">DFIE!$B$53</f>
        <v>Waadt</v>
      </c>
      <c r="C58" s="53">
        <v>0</v>
      </c>
      <c r="D58" s="53">
        <v>0</v>
      </c>
      <c r="E58" s="123">
        <f t="shared" si="2"/>
        <v>0</v>
      </c>
      <c r="F58" s="53">
        <v>0</v>
      </c>
      <c r="G58" s="53">
        <v>0</v>
      </c>
      <c r="H58" s="123">
        <f t="shared" si="3"/>
        <v>0</v>
      </c>
      <c r="I58" s="47">
        <v>76036.654830658998</v>
      </c>
      <c r="J58" s="43"/>
    </row>
    <row r="59" spans="1:10" x14ac:dyDescent="0.25">
      <c r="A59" s="583"/>
      <c r="B59" s="15" t="str">
        <f ca="1">DFIE!$B$54</f>
        <v>Wallis</v>
      </c>
      <c r="C59" s="54">
        <v>0</v>
      </c>
      <c r="D59" s="54">
        <v>0</v>
      </c>
      <c r="E59" s="122">
        <f t="shared" si="2"/>
        <v>0</v>
      </c>
      <c r="F59" s="54">
        <v>0</v>
      </c>
      <c r="G59" s="54">
        <v>0</v>
      </c>
      <c r="H59" s="122">
        <f t="shared" si="3"/>
        <v>0</v>
      </c>
      <c r="I59" s="48">
        <v>117557.78753931601</v>
      </c>
      <c r="J59" s="43"/>
    </row>
    <row r="60" spans="1:10" x14ac:dyDescent="0.25">
      <c r="A60" s="583"/>
      <c r="B60" s="16" t="str">
        <f ca="1">DFIE!$B$55</f>
        <v>Neuenburg</v>
      </c>
      <c r="C60" s="53">
        <v>0</v>
      </c>
      <c r="D60" s="53">
        <v>0</v>
      </c>
      <c r="E60" s="123">
        <f t="shared" si="2"/>
        <v>0</v>
      </c>
      <c r="F60" s="53">
        <v>0</v>
      </c>
      <c r="G60" s="53">
        <v>0</v>
      </c>
      <c r="H60" s="123">
        <f t="shared" si="3"/>
        <v>0</v>
      </c>
      <c r="I60" s="47">
        <v>13518.532164075699</v>
      </c>
      <c r="J60" s="43"/>
    </row>
    <row r="61" spans="1:10" x14ac:dyDescent="0.25">
      <c r="A61" s="583"/>
      <c r="B61" s="15" t="str">
        <f ca="1">DFIE!$B$56</f>
        <v>Genf</v>
      </c>
      <c r="C61" s="54">
        <v>0</v>
      </c>
      <c r="D61" s="54">
        <v>0</v>
      </c>
      <c r="E61" s="122">
        <f t="shared" si="2"/>
        <v>0</v>
      </c>
      <c r="F61" s="54">
        <v>0</v>
      </c>
      <c r="G61" s="54">
        <v>0</v>
      </c>
      <c r="H61" s="122">
        <f t="shared" si="3"/>
        <v>0</v>
      </c>
      <c r="I61" s="48">
        <v>16802.7542109024</v>
      </c>
      <c r="J61" s="43"/>
    </row>
    <row r="62" spans="1:10" x14ac:dyDescent="0.25">
      <c r="A62" s="583"/>
      <c r="B62" s="16" t="str">
        <f ca="1">DFIE!$B$57</f>
        <v>Jura</v>
      </c>
      <c r="C62" s="53">
        <v>0</v>
      </c>
      <c r="D62" s="53">
        <v>0</v>
      </c>
      <c r="E62" s="123">
        <f t="shared" si="2"/>
        <v>0</v>
      </c>
      <c r="F62" s="53">
        <v>0</v>
      </c>
      <c r="G62" s="53">
        <v>0</v>
      </c>
      <c r="H62" s="123">
        <f t="shared" si="3"/>
        <v>0</v>
      </c>
      <c r="I62" s="47">
        <v>12589.8060362907</v>
      </c>
      <c r="J62" s="43"/>
    </row>
    <row r="63" spans="1:10" x14ac:dyDescent="0.25">
      <c r="A63" s="583"/>
      <c r="B63" s="14" t="str">
        <f ca="1">DFIE!$B$58</f>
        <v>Schweiz</v>
      </c>
      <c r="C63" s="55">
        <f>SUM(C37:C62)</f>
        <v>0</v>
      </c>
      <c r="D63" s="55">
        <f>SUM(D37:D62)</f>
        <v>0</v>
      </c>
      <c r="E63" s="124">
        <f>ROUND(SUM(E37:E62),5)</f>
        <v>0</v>
      </c>
      <c r="F63" s="55">
        <f>SUM(F37:F62)</f>
        <v>0</v>
      </c>
      <c r="G63" s="55">
        <f>SUM(G37:G62)</f>
        <v>0</v>
      </c>
      <c r="H63" s="124">
        <f>ROUND(SUM(H37:H62),5)</f>
        <v>0</v>
      </c>
      <c r="I63" s="49">
        <f>ROUND(SUM(I37:I62),6)</f>
        <v>58086.351024000003</v>
      </c>
      <c r="J63" s="43"/>
    </row>
    <row r="64" spans="1:10" ht="14.25" customHeight="1" x14ac:dyDescent="0.25">
      <c r="A64" s="66"/>
      <c r="B64" s="78"/>
      <c r="C64" s="129"/>
      <c r="D64" s="129"/>
      <c r="E64" s="129"/>
      <c r="F64" s="129"/>
      <c r="G64" s="129"/>
      <c r="H64" s="78"/>
      <c r="I64" s="129"/>
    </row>
    <row r="65" spans="1:15" x14ac:dyDescent="0.25">
      <c r="A65" s="584" t="str">
        <f ca="1">DFIE!$B$75</f>
        <v>Bemessungsjahr 2022</v>
      </c>
      <c r="B65" s="31" t="str">
        <f ca="1">DFIE!$B$32</f>
        <v>Zürich</v>
      </c>
      <c r="C65" s="51">
        <v>7471.9880000000003</v>
      </c>
      <c r="D65" s="51">
        <v>3611.8525500000001</v>
      </c>
      <c r="E65" s="130">
        <f t="shared" ref="E65:E90" si="4">$O$71*($D65-$C65)/$O$66</f>
        <v>-330637.19189909438</v>
      </c>
      <c r="F65" s="51">
        <v>42797.021000000001</v>
      </c>
      <c r="G65" s="51">
        <v>25777.758549999999</v>
      </c>
      <c r="H65" s="130">
        <f t="shared" ref="H65:H90" si="5">$O$76*($G65-$F65)/$O$66</f>
        <v>-295008.81994456111</v>
      </c>
      <c r="I65" s="52">
        <f>E65+H65</f>
        <v>-625646.01184365549</v>
      </c>
      <c r="J65" s="46"/>
      <c r="L65" s="172"/>
      <c r="M65" s="173"/>
      <c r="N65" s="174"/>
      <c r="O65" s="167"/>
    </row>
    <row r="66" spans="1:15" x14ac:dyDescent="0.25">
      <c r="A66" s="584"/>
      <c r="B66" s="16" t="str">
        <f ca="1">DFIE!$B$33</f>
        <v>Bern</v>
      </c>
      <c r="C66" s="53">
        <v>2404.0859999999998</v>
      </c>
      <c r="D66" s="53">
        <v>3112.87745</v>
      </c>
      <c r="E66" s="123">
        <f t="shared" si="4"/>
        <v>60711.034031224845</v>
      </c>
      <c r="F66" s="53">
        <v>14286.576999999999</v>
      </c>
      <c r="G66" s="53">
        <v>13419.951950000001</v>
      </c>
      <c r="H66" s="123">
        <f t="shared" si="5"/>
        <v>-15021.922018418363</v>
      </c>
      <c r="I66" s="47">
        <f t="shared" ref="I66:I90" si="6">E66+H66</f>
        <v>45689.112012806479</v>
      </c>
      <c r="J66" s="46"/>
      <c r="L66" s="175" t="s">
        <v>928</v>
      </c>
      <c r="M66" s="176" t="str">
        <f ca="1">DFIE!$B$164</f>
        <v>Kantonsanteil DBSt</v>
      </c>
      <c r="N66" s="177" t="str">
        <f ca="1">DFIE!$B$67</f>
        <v>Prozent</v>
      </c>
      <c r="O66" s="191">
        <v>0.21199999999999999</v>
      </c>
    </row>
    <row r="67" spans="1:15" x14ac:dyDescent="0.25">
      <c r="A67" s="584"/>
      <c r="B67" s="15" t="str">
        <f ca="1">DFIE!$B$34</f>
        <v>Luzern</v>
      </c>
      <c r="C67" s="54">
        <v>2476.4803999999999</v>
      </c>
      <c r="D67" s="54">
        <v>3103.16329</v>
      </c>
      <c r="E67" s="122">
        <f t="shared" si="4"/>
        <v>53678.082970070158</v>
      </c>
      <c r="F67" s="54">
        <v>14080.4107</v>
      </c>
      <c r="G67" s="54">
        <v>7022.46245</v>
      </c>
      <c r="H67" s="122">
        <f t="shared" si="5"/>
        <v>-122341.19960129529</v>
      </c>
      <c r="I67" s="48">
        <f t="shared" si="6"/>
        <v>-68663.11663122513</v>
      </c>
      <c r="J67" s="46"/>
      <c r="L67" s="175"/>
      <c r="M67" s="176"/>
      <c r="N67" s="177"/>
      <c r="O67" s="163"/>
    </row>
    <row r="68" spans="1:15" x14ac:dyDescent="0.25">
      <c r="A68" s="584"/>
      <c r="B68" s="16" t="str">
        <f ca="1">DFIE!$B$35</f>
        <v>Uri</v>
      </c>
      <c r="C68" s="53">
        <v>196.33799999999999</v>
      </c>
      <c r="D68" s="53">
        <v>209.7055</v>
      </c>
      <c r="E68" s="123">
        <f t="shared" si="4"/>
        <v>1144.9838276299724</v>
      </c>
      <c r="F68" s="53">
        <v>439.68400000000003</v>
      </c>
      <c r="G68" s="53">
        <v>1063.5905499999999</v>
      </c>
      <c r="H68" s="123">
        <f t="shared" si="5"/>
        <v>10814.683398409092</v>
      </c>
      <c r="I68" s="47">
        <f t="shared" si="6"/>
        <v>11959.667226039064</v>
      </c>
      <c r="J68" s="46"/>
      <c r="L68" s="186"/>
      <c r="M68" s="187" t="str">
        <f ca="1">DFIE!$B$165</f>
        <v>Natürliche Personen</v>
      </c>
      <c r="N68" s="177"/>
      <c r="O68" s="163"/>
    </row>
    <row r="69" spans="1:15" x14ac:dyDescent="0.25">
      <c r="A69" s="584"/>
      <c r="B69" s="15" t="str">
        <f ca="1">DFIE!$B$36</f>
        <v>Schwyz</v>
      </c>
      <c r="C69" s="54">
        <v>2509.1473500000002</v>
      </c>
      <c r="D69" s="54">
        <v>786.95960000000002</v>
      </c>
      <c r="E69" s="122">
        <f t="shared" si="4"/>
        <v>-147512.78263642784</v>
      </c>
      <c r="F69" s="54">
        <v>3768.5360000000001</v>
      </c>
      <c r="G69" s="54">
        <v>1831.0858000000001</v>
      </c>
      <c r="H69" s="122">
        <f t="shared" si="5"/>
        <v>-33583.4116714825</v>
      </c>
      <c r="I69" s="48">
        <f t="shared" si="6"/>
        <v>-181096.19430791034</v>
      </c>
      <c r="J69" s="46"/>
      <c r="L69" s="175" t="s">
        <v>956</v>
      </c>
      <c r="M69" s="176" t="str">
        <f ca="1">DFIE!$B$166</f>
        <v>Steueraufkommen DBSt</v>
      </c>
      <c r="N69" s="177" t="str">
        <f ca="1">DFIE!$B$64</f>
        <v>CHF 1'000</v>
      </c>
      <c r="O69" s="188">
        <v>12750138.861570001</v>
      </c>
    </row>
    <row r="70" spans="1:15" x14ac:dyDescent="0.25">
      <c r="A70" s="584"/>
      <c r="B70" s="16" t="str">
        <f ca="1">DFIE!$B$37</f>
        <v>Obwalden</v>
      </c>
      <c r="C70" s="53">
        <v>158.22300000000001</v>
      </c>
      <c r="D70" s="53">
        <v>415.78030000000001</v>
      </c>
      <c r="E70" s="123">
        <f t="shared" si="4"/>
        <v>22060.889709223189</v>
      </c>
      <c r="F70" s="53">
        <v>222.69200000000001</v>
      </c>
      <c r="G70" s="53">
        <v>492.0489</v>
      </c>
      <c r="H70" s="123">
        <f t="shared" si="5"/>
        <v>4668.9838320769968</v>
      </c>
      <c r="I70" s="47">
        <f t="shared" si="6"/>
        <v>26729.873541300185</v>
      </c>
      <c r="J70" s="46"/>
      <c r="L70" s="175" t="s">
        <v>957</v>
      </c>
      <c r="M70" s="176" t="str">
        <f ca="1">DFIE!$B$167</f>
        <v>Massgebendes Einkommen</v>
      </c>
      <c r="N70" s="177" t="str">
        <f ca="1">DFIE!$B$64</f>
        <v>CHF 1'000</v>
      </c>
      <c r="O70" s="171">
        <f>NP!$E$91+QS!$X$91</f>
        <v>231526088.86218241</v>
      </c>
    </row>
    <row r="71" spans="1:15" x14ac:dyDescent="0.25">
      <c r="A71" s="584"/>
      <c r="B71" s="15" t="str">
        <f ca="1">DFIE!$B$38</f>
        <v>Nidwalden</v>
      </c>
      <c r="C71" s="54">
        <v>747.91430000000003</v>
      </c>
      <c r="D71" s="54">
        <v>644.40575000000001</v>
      </c>
      <c r="E71" s="122">
        <f t="shared" si="4"/>
        <v>-8865.9521803948646</v>
      </c>
      <c r="F71" s="54">
        <v>821.79534999999998</v>
      </c>
      <c r="G71" s="54">
        <v>781.73080000000004</v>
      </c>
      <c r="H71" s="122">
        <f t="shared" si="5"/>
        <v>-694.47167007579969</v>
      </c>
      <c r="I71" s="48">
        <f t="shared" si="6"/>
        <v>-9560.4238504706645</v>
      </c>
      <c r="J71" s="46"/>
      <c r="L71" s="175" t="s">
        <v>929</v>
      </c>
      <c r="M71" s="176" t="str">
        <f ca="1">DFIE!$B$168</f>
        <v>Gewichtungsfaktor NP</v>
      </c>
      <c r="N71" s="178" t="s">
        <v>958</v>
      </c>
      <c r="O71" s="189">
        <f>O70/O69</f>
        <v>18.158711161964021</v>
      </c>
    </row>
    <row r="72" spans="1:15" x14ac:dyDescent="0.25">
      <c r="A72" s="584"/>
      <c r="B72" s="16" t="str">
        <f ca="1">DFIE!$B$39</f>
        <v>Glarus</v>
      </c>
      <c r="C72" s="53">
        <v>75.185000000000002</v>
      </c>
      <c r="D72" s="53">
        <v>315.0231</v>
      </c>
      <c r="E72" s="123">
        <f t="shared" si="4"/>
        <v>20543.164073274729</v>
      </c>
      <c r="F72" s="53">
        <v>5.8630000000000004</v>
      </c>
      <c r="G72" s="53">
        <v>406.45645000000002</v>
      </c>
      <c r="H72" s="123">
        <f t="shared" si="5"/>
        <v>6943.8144754633904</v>
      </c>
      <c r="I72" s="47">
        <f t="shared" si="6"/>
        <v>27486.97854873812</v>
      </c>
      <c r="J72" s="46"/>
      <c r="L72" s="175"/>
      <c r="M72" s="176"/>
      <c r="N72" s="177"/>
      <c r="O72" s="190"/>
    </row>
    <row r="73" spans="1:15" x14ac:dyDescent="0.25">
      <c r="A73" s="584"/>
      <c r="B73" s="15" t="str">
        <f ca="1">DFIE!$B$40</f>
        <v>Zug</v>
      </c>
      <c r="C73" s="54">
        <v>808.36455000000001</v>
      </c>
      <c r="D73" s="54">
        <v>1011.32665</v>
      </c>
      <c r="E73" s="122">
        <f t="shared" si="4"/>
        <v>17384.576182668196</v>
      </c>
      <c r="F73" s="54">
        <v>7204.05375</v>
      </c>
      <c r="G73" s="54">
        <v>4243.1832000000004</v>
      </c>
      <c r="H73" s="122">
        <f t="shared" si="5"/>
        <v>-51323.195087346656</v>
      </c>
      <c r="I73" s="48">
        <f t="shared" si="6"/>
        <v>-33938.618904678457</v>
      </c>
      <c r="J73" s="46"/>
      <c r="L73" s="186"/>
      <c r="M73" s="187" t="str">
        <f ca="1">DFIE!$B$169</f>
        <v>Juristische Personen</v>
      </c>
      <c r="N73" s="177"/>
      <c r="O73" s="163"/>
    </row>
    <row r="74" spans="1:15" x14ac:dyDescent="0.25">
      <c r="A74" s="584"/>
      <c r="B74" s="16" t="str">
        <f ca="1">DFIE!$B$41</f>
        <v>Freiburg</v>
      </c>
      <c r="C74" s="53">
        <v>1117.654</v>
      </c>
      <c r="D74" s="53">
        <v>1206.46705</v>
      </c>
      <c r="E74" s="123">
        <f t="shared" si="4"/>
        <v>7607.2194451088126</v>
      </c>
      <c r="F74" s="53">
        <v>9087.1139999999996</v>
      </c>
      <c r="G74" s="53">
        <v>4097.7896499999997</v>
      </c>
      <c r="H74" s="123">
        <f t="shared" si="5"/>
        <v>-86484.04671696946</v>
      </c>
      <c r="I74" s="47">
        <f t="shared" si="6"/>
        <v>-78876.827271860646</v>
      </c>
      <c r="J74" s="46"/>
      <c r="L74" s="175" t="s">
        <v>959</v>
      </c>
      <c r="M74" s="176" t="str">
        <f ca="1">DFIE!$B$170</f>
        <v>Steueraufkommen DBSt</v>
      </c>
      <c r="N74" s="177" t="str">
        <f ca="1">DFIE!$B$64</f>
        <v>CHF 1'000</v>
      </c>
      <c r="O74" s="188">
        <v>13793955.86668</v>
      </c>
    </row>
    <row r="75" spans="1:15" x14ac:dyDescent="0.25">
      <c r="A75" s="584"/>
      <c r="B75" s="15" t="str">
        <f ca="1">DFIE!$B$42</f>
        <v>Solothurn</v>
      </c>
      <c r="C75" s="54">
        <v>1855.0418999999999</v>
      </c>
      <c r="D75" s="54">
        <v>678.20799999999997</v>
      </c>
      <c r="E75" s="122">
        <f t="shared" si="4"/>
        <v>-100800.88148918706</v>
      </c>
      <c r="F75" s="54">
        <v>10280.115</v>
      </c>
      <c r="G75" s="54">
        <v>4876.1307999999999</v>
      </c>
      <c r="H75" s="122">
        <f t="shared" si="5"/>
        <v>-93671.685628248408</v>
      </c>
      <c r="I75" s="48">
        <f t="shared" si="6"/>
        <v>-194472.56711743545</v>
      </c>
      <c r="J75" s="46"/>
      <c r="L75" s="175" t="s">
        <v>960</v>
      </c>
      <c r="M75" s="176" t="str">
        <f ca="1">DFIE!$B$171</f>
        <v>Massgebender Gewinn</v>
      </c>
      <c r="N75" s="177" t="str">
        <f ca="1">DFIE!$B$64</f>
        <v>CHF 1'000</v>
      </c>
      <c r="O75" s="171">
        <f>JP!$H$91</f>
        <v>50689610.949062236</v>
      </c>
    </row>
    <row r="76" spans="1:15" x14ac:dyDescent="0.25">
      <c r="A76" s="584"/>
      <c r="B76" s="16" t="str">
        <f ca="1">DFIE!$B$43</f>
        <v>Basel-Stadt</v>
      </c>
      <c r="C76" s="53">
        <v>1504.011</v>
      </c>
      <c r="D76" s="53">
        <v>1867.3051499999999</v>
      </c>
      <c r="E76" s="123">
        <f t="shared" si="4"/>
        <v>31117.70536170392</v>
      </c>
      <c r="F76" s="53">
        <v>13810.161</v>
      </c>
      <c r="G76" s="53">
        <v>7643.0020000000004</v>
      </c>
      <c r="H76" s="123">
        <f t="shared" si="5"/>
        <v>-106900.41970652371</v>
      </c>
      <c r="I76" s="47">
        <f t="shared" si="6"/>
        <v>-75782.714344819789</v>
      </c>
      <c r="J76" s="46"/>
      <c r="L76" s="175" t="s">
        <v>930</v>
      </c>
      <c r="M76" s="176" t="str">
        <f ca="1">DFIE!$B$172</f>
        <v>Gewichtungsfaktor JP</v>
      </c>
      <c r="N76" s="178" t="s">
        <v>961</v>
      </c>
      <c r="O76" s="189">
        <f>O75/O74</f>
        <v>3.6747696918115826</v>
      </c>
    </row>
    <row r="77" spans="1:15" x14ac:dyDescent="0.25">
      <c r="A77" s="584"/>
      <c r="B77" s="15" t="str">
        <f ca="1">DFIE!$B$44</f>
        <v>Basel-Landschaft</v>
      </c>
      <c r="C77" s="54">
        <v>2579.4049500000001</v>
      </c>
      <c r="D77" s="54">
        <v>786.85365000000002</v>
      </c>
      <c r="E77" s="122">
        <f t="shared" si="4"/>
        <v>-153539.72311180716</v>
      </c>
      <c r="F77" s="54">
        <v>5015.2592000000004</v>
      </c>
      <c r="G77" s="54">
        <v>4470.9656999999997</v>
      </c>
      <c r="H77" s="122">
        <f t="shared" si="5"/>
        <v>-9434.6851757077839</v>
      </c>
      <c r="I77" s="48">
        <f t="shared" si="6"/>
        <v>-162974.40828751496</v>
      </c>
      <c r="J77" s="46"/>
      <c r="L77" s="180"/>
      <c r="M77" s="181"/>
      <c r="N77" s="182"/>
      <c r="O77" s="183"/>
    </row>
    <row r="78" spans="1:15" x14ac:dyDescent="0.25">
      <c r="A78" s="584"/>
      <c r="B78" s="16" t="str">
        <f ca="1">DFIE!$B$45</f>
        <v>Schaffhausen</v>
      </c>
      <c r="C78" s="53">
        <v>331.08555000000001</v>
      </c>
      <c r="D78" s="53">
        <v>455.77980000000002</v>
      </c>
      <c r="E78" s="123">
        <f t="shared" si="4"/>
        <v>10680.598440130814</v>
      </c>
      <c r="F78" s="53">
        <v>581.08704999999998</v>
      </c>
      <c r="G78" s="53">
        <v>4848.8581999999997</v>
      </c>
      <c r="H78" s="123">
        <f t="shared" si="5"/>
        <v>73976.773932112555</v>
      </c>
      <c r="I78" s="47">
        <f t="shared" si="6"/>
        <v>84657.372372243364</v>
      </c>
      <c r="J78" s="46"/>
    </row>
    <row r="79" spans="1:15" x14ac:dyDescent="0.25">
      <c r="A79" s="584"/>
      <c r="B79" s="15" t="str">
        <f ca="1">DFIE!$B$46</f>
        <v>Appenzell A.Rh.</v>
      </c>
      <c r="C79" s="54">
        <v>303.38544999999999</v>
      </c>
      <c r="D79" s="54">
        <v>310.42759999999998</v>
      </c>
      <c r="E79" s="122">
        <f t="shared" si="4"/>
        <v>603.19041419445659</v>
      </c>
      <c r="F79" s="54">
        <v>342.15109999999999</v>
      </c>
      <c r="G79" s="54">
        <v>395.28205000000003</v>
      </c>
      <c r="H79" s="122">
        <f t="shared" si="5"/>
        <v>920.96228659036205</v>
      </c>
      <c r="I79" s="48">
        <f t="shared" si="6"/>
        <v>1524.1527007848185</v>
      </c>
      <c r="J79" s="46"/>
    </row>
    <row r="80" spans="1:15" x14ac:dyDescent="0.25">
      <c r="A80" s="584"/>
      <c r="B80" s="16" t="str">
        <f ca="1">DFIE!$B$47</f>
        <v>Appenzell I.Rh.</v>
      </c>
      <c r="C80" s="53">
        <v>0</v>
      </c>
      <c r="D80" s="53">
        <v>53.319899999999997</v>
      </c>
      <c r="E80" s="123">
        <f t="shared" si="4"/>
        <v>4567.0786004000256</v>
      </c>
      <c r="F80" s="53">
        <v>3.1280000000000001</v>
      </c>
      <c r="G80" s="53">
        <v>41.755299999999998</v>
      </c>
      <c r="H80" s="123">
        <f t="shared" si="5"/>
        <v>669.55863828544136</v>
      </c>
      <c r="I80" s="47">
        <f t="shared" si="6"/>
        <v>5236.6372386854673</v>
      </c>
      <c r="J80" s="46"/>
    </row>
    <row r="81" spans="1:10" x14ac:dyDescent="0.25">
      <c r="A81" s="584"/>
      <c r="B81" s="15" t="str">
        <f ca="1">DFIE!$B$48</f>
        <v>St. Gallen</v>
      </c>
      <c r="C81" s="54">
        <v>1483.777</v>
      </c>
      <c r="D81" s="54">
        <v>1664.6116500000001</v>
      </c>
      <c r="E81" s="122">
        <f t="shared" si="4"/>
        <v>15489.264987853101</v>
      </c>
      <c r="F81" s="54">
        <v>7459.5659999999998</v>
      </c>
      <c r="G81" s="54">
        <v>8350.4307499999995</v>
      </c>
      <c r="H81" s="122">
        <f t="shared" si="5"/>
        <v>15442.088598128781</v>
      </c>
      <c r="I81" s="48">
        <f t="shared" si="6"/>
        <v>30931.35358598188</v>
      </c>
      <c r="J81" s="46"/>
    </row>
    <row r="82" spans="1:10" x14ac:dyDescent="0.25">
      <c r="A82" s="584"/>
      <c r="B82" s="16" t="str">
        <f ca="1">DFIE!$B$49</f>
        <v>Graubünden</v>
      </c>
      <c r="C82" s="53">
        <v>740.70399999999995</v>
      </c>
      <c r="D82" s="53">
        <v>4563.95705</v>
      </c>
      <c r="E82" s="123">
        <f t="shared" si="4"/>
        <v>327478.0558209811</v>
      </c>
      <c r="F82" s="53">
        <v>1083.8599999999999</v>
      </c>
      <c r="G82" s="53">
        <v>2667.3685</v>
      </c>
      <c r="H82" s="123">
        <f t="shared" si="5"/>
        <v>27448.250200594444</v>
      </c>
      <c r="I82" s="47">
        <f t="shared" si="6"/>
        <v>354926.30602157552</v>
      </c>
      <c r="J82" s="46"/>
    </row>
    <row r="83" spans="1:10" x14ac:dyDescent="0.25">
      <c r="A83" s="584"/>
      <c r="B83" s="15" t="str">
        <f ca="1">DFIE!$B$50</f>
        <v>Aargau</v>
      </c>
      <c r="C83" s="54">
        <v>2770.5641999999998</v>
      </c>
      <c r="D83" s="54">
        <v>1567.5563</v>
      </c>
      <c r="E83" s="122">
        <f t="shared" si="4"/>
        <v>-103042.79708330611</v>
      </c>
      <c r="F83" s="54">
        <v>5327.3446999999996</v>
      </c>
      <c r="G83" s="54">
        <v>11087.241400000001</v>
      </c>
      <c r="H83" s="122">
        <f t="shared" si="5"/>
        <v>99841.0085902149</v>
      </c>
      <c r="I83" s="48">
        <f t="shared" si="6"/>
        <v>-3201.7884930912114</v>
      </c>
      <c r="J83" s="46"/>
    </row>
    <row r="84" spans="1:10" x14ac:dyDescent="0.25">
      <c r="A84" s="584"/>
      <c r="B84" s="16" t="str">
        <f ca="1">DFIE!$B$51</f>
        <v>Thurgau</v>
      </c>
      <c r="C84" s="53">
        <v>607.79999999999995</v>
      </c>
      <c r="D84" s="53">
        <v>662.02440000000001</v>
      </c>
      <c r="E84" s="123">
        <f t="shared" si="4"/>
        <v>4644.5529128811459</v>
      </c>
      <c r="F84" s="53">
        <v>1700.5409999999999</v>
      </c>
      <c r="G84" s="53">
        <v>3813.0147999999999</v>
      </c>
      <c r="H84" s="123">
        <f t="shared" si="5"/>
        <v>36617.239127292654</v>
      </c>
      <c r="I84" s="47">
        <f t="shared" si="6"/>
        <v>41261.792040173801</v>
      </c>
      <c r="J84" s="46"/>
    </row>
    <row r="85" spans="1:10" x14ac:dyDescent="0.25">
      <c r="A85" s="584"/>
      <c r="B85" s="15" t="str">
        <f ca="1">DFIE!$B$52</f>
        <v>Tessin</v>
      </c>
      <c r="C85" s="54">
        <v>653.70399999999995</v>
      </c>
      <c r="D85" s="54">
        <v>2585.02315</v>
      </c>
      <c r="E85" s="122">
        <f t="shared" si="4"/>
        <v>165425.78587933898</v>
      </c>
      <c r="F85" s="54">
        <v>1582.98525</v>
      </c>
      <c r="G85" s="54">
        <v>5245.9817499999999</v>
      </c>
      <c r="H85" s="122">
        <f t="shared" si="5"/>
        <v>63493.719431188241</v>
      </c>
      <c r="I85" s="48">
        <f t="shared" si="6"/>
        <v>228919.50531052722</v>
      </c>
      <c r="J85" s="46"/>
    </row>
    <row r="86" spans="1:10" x14ac:dyDescent="0.25">
      <c r="A86" s="584"/>
      <c r="B86" s="16" t="str">
        <f ca="1">DFIE!$B$53</f>
        <v>Waadt</v>
      </c>
      <c r="C86" s="53">
        <v>3148.0223000000001</v>
      </c>
      <c r="D86" s="53">
        <v>2902.5086500000002</v>
      </c>
      <c r="E86" s="123">
        <f t="shared" si="4"/>
        <v>-21029.299323912855</v>
      </c>
      <c r="F86" s="53">
        <v>49106.181900000003</v>
      </c>
      <c r="G86" s="53">
        <v>19373.768800000002</v>
      </c>
      <c r="H86" s="123">
        <f t="shared" si="5"/>
        <v>-515376.27605802676</v>
      </c>
      <c r="I86" s="47">
        <f t="shared" si="6"/>
        <v>-536405.57538193965</v>
      </c>
      <c r="J86" s="46"/>
    </row>
    <row r="87" spans="1:10" x14ac:dyDescent="0.25">
      <c r="A87" s="584"/>
      <c r="B87" s="15" t="str">
        <f ca="1">DFIE!$B$54</f>
        <v>Wallis</v>
      </c>
      <c r="C87" s="54">
        <v>530.41800000000001</v>
      </c>
      <c r="D87" s="54">
        <v>4218.9085999999998</v>
      </c>
      <c r="E87" s="122">
        <f t="shared" si="4"/>
        <v>315935.07277839322</v>
      </c>
      <c r="F87" s="54">
        <v>3694.1889999999999</v>
      </c>
      <c r="G87" s="54">
        <v>3963.46315</v>
      </c>
      <c r="H87" s="122">
        <f t="shared" si="5"/>
        <v>4667.5494585298429</v>
      </c>
      <c r="I87" s="48">
        <f t="shared" si="6"/>
        <v>320602.62223692308</v>
      </c>
      <c r="J87" s="46"/>
    </row>
    <row r="88" spans="1:10" x14ac:dyDescent="0.25">
      <c r="A88" s="584"/>
      <c r="B88" s="16" t="str">
        <f ca="1">DFIE!$B$55</f>
        <v>Neuenburg</v>
      </c>
      <c r="C88" s="53">
        <v>547.38400000000001</v>
      </c>
      <c r="D88" s="53">
        <v>376.06875000000002</v>
      </c>
      <c r="E88" s="123">
        <f t="shared" si="4"/>
        <v>-14673.887464102154</v>
      </c>
      <c r="F88" s="53">
        <v>478.62799999999999</v>
      </c>
      <c r="G88" s="53">
        <v>46163.748599999999</v>
      </c>
      <c r="H88" s="123">
        <f t="shared" si="5"/>
        <v>791897.62522470288</v>
      </c>
      <c r="I88" s="47">
        <f t="shared" si="6"/>
        <v>777223.73776060075</v>
      </c>
      <c r="J88" s="46"/>
    </row>
    <row r="89" spans="1:10" x14ac:dyDescent="0.25">
      <c r="A89" s="584"/>
      <c r="B89" s="15" t="str">
        <f ca="1">DFIE!$B$56</f>
        <v>Genf</v>
      </c>
      <c r="C89" s="54">
        <v>3658.1873399999999</v>
      </c>
      <c r="D89" s="54">
        <v>1367.43795</v>
      </c>
      <c r="E89" s="122">
        <f t="shared" si="4"/>
        <v>-196212.53074271354</v>
      </c>
      <c r="F89" s="54">
        <v>8778.3991499999993</v>
      </c>
      <c r="G89" s="54">
        <v>19176.0651</v>
      </c>
      <c r="H89" s="122">
        <f t="shared" si="5"/>
        <v>180231.26272944003</v>
      </c>
      <c r="I89" s="48">
        <f t="shared" si="6"/>
        <v>-15981.268013273511</v>
      </c>
      <c r="J89" s="46"/>
    </row>
    <row r="90" spans="1:10" x14ac:dyDescent="0.25">
      <c r="A90" s="584"/>
      <c r="B90" s="16" t="str">
        <f ca="1">DFIE!$B$57</f>
        <v>Jura</v>
      </c>
      <c r="C90" s="53">
        <v>126.17829999999999</v>
      </c>
      <c r="D90" s="53">
        <v>327.49675000000002</v>
      </c>
      <c r="E90" s="123">
        <f t="shared" si="4"/>
        <v>17243.790495869322</v>
      </c>
      <c r="F90" s="53">
        <v>255.22900000000001</v>
      </c>
      <c r="G90" s="53">
        <v>959.43695000000002</v>
      </c>
      <c r="H90" s="123">
        <f t="shared" si="5"/>
        <v>12206.613355626258</v>
      </c>
      <c r="I90" s="47">
        <f t="shared" si="6"/>
        <v>29450.403851495579</v>
      </c>
      <c r="J90" s="46"/>
    </row>
    <row r="91" spans="1:10" x14ac:dyDescent="0.25">
      <c r="A91" s="584"/>
      <c r="B91" s="14" t="str">
        <f ca="1">DFIE!$B$58</f>
        <v>Schweiz</v>
      </c>
      <c r="C91" s="55">
        <f>SUM(C65:C90)</f>
        <v>38805.048589999991</v>
      </c>
      <c r="D91" s="55">
        <f>SUM(D65:D90)</f>
        <v>38805.048589999991</v>
      </c>
      <c r="E91" s="124">
        <f>ROUND(SUM(E65:E90),5)</f>
        <v>0</v>
      </c>
      <c r="F91" s="55">
        <f>SUM(F65:F90)</f>
        <v>202212.57214999999</v>
      </c>
      <c r="G91" s="55">
        <f>SUM(G65:G90)</f>
        <v>202212.57214999999</v>
      </c>
      <c r="H91" s="124">
        <f>ROUND(SUM(H65:H90),5)</f>
        <v>0</v>
      </c>
      <c r="I91" s="49">
        <f>ROUND(SUM(I65:I90),6)</f>
        <v>0</v>
      </c>
      <c r="J91" s="46"/>
    </row>
  </sheetData>
  <mergeCells count="7">
    <mergeCell ref="L7:O8"/>
    <mergeCell ref="I6:I7"/>
    <mergeCell ref="A9:A35"/>
    <mergeCell ref="A37:A63"/>
    <mergeCell ref="A65:A91"/>
    <mergeCell ref="C6:E6"/>
    <mergeCell ref="F6:H6"/>
  </mergeCells>
  <conditionalFormatting sqref="C9:D34">
    <cfRule type="expression" dxfId="31" priority="19" stopIfTrue="1">
      <formula>ISBLANK(C9)</formula>
    </cfRule>
  </conditionalFormatting>
  <conditionalFormatting sqref="C37:D62">
    <cfRule type="expression" dxfId="30" priority="15" stopIfTrue="1">
      <formula>ISBLANK(C37)</formula>
    </cfRule>
  </conditionalFormatting>
  <conditionalFormatting sqref="C65:D90">
    <cfRule type="expression" dxfId="29" priority="25" stopIfTrue="1">
      <formula>ISBLANK(C65)</formula>
    </cfRule>
  </conditionalFormatting>
  <conditionalFormatting sqref="C9:H35">
    <cfRule type="expression" dxfId="28" priority="16">
      <formula>$E$35=0</formula>
    </cfRule>
  </conditionalFormatting>
  <conditionalFormatting sqref="C37:H63">
    <cfRule type="expression" dxfId="27" priority="12">
      <formula>$E$35=0</formula>
    </cfRule>
  </conditionalFormatting>
  <conditionalFormatting sqref="F9:G34">
    <cfRule type="expression" dxfId="26" priority="17" stopIfTrue="1">
      <formula>ISBLANK(F9)</formula>
    </cfRule>
  </conditionalFormatting>
  <conditionalFormatting sqref="F37:G62">
    <cfRule type="expression" dxfId="25" priority="13" stopIfTrue="1">
      <formula>ISBLANK(F37)</formula>
    </cfRule>
  </conditionalFormatting>
  <conditionalFormatting sqref="F65:G90">
    <cfRule type="expression" dxfId="24" priority="23" stopIfTrue="1">
      <formula>ISBLANK(F65)</formula>
    </cfRule>
  </conditionalFormatting>
  <conditionalFormatting sqref="L7:O8">
    <cfRule type="expression" dxfId="23" priority="5">
      <formula>AND(ISBLANK($O$12),ISNUMBER($O$69))</formula>
    </cfRule>
  </conditionalFormatting>
  <conditionalFormatting sqref="L9:O13">
    <cfRule type="expression" dxfId="22" priority="1">
      <formula>AND(ISBLANK($O$12),ISNUMBER($O$69))</formula>
    </cfRule>
  </conditionalFormatting>
  <conditionalFormatting sqref="L37:O41">
    <cfRule type="expression" dxfId="21" priority="2">
      <formula>AND(ISBLANK($O$40),ISNUMBER($O$69))</formula>
    </cfRule>
  </conditionalFormatting>
  <conditionalFormatting sqref="O11:O12">
    <cfRule type="expression" dxfId="20" priority="10">
      <formula>ISBLANK(O11)</formula>
    </cfRule>
  </conditionalFormatting>
  <conditionalFormatting sqref="O38:O40">
    <cfRule type="expression" dxfId="19" priority="3">
      <formula>ISBLANK(O38)</formula>
    </cfRule>
  </conditionalFormatting>
  <conditionalFormatting sqref="O66">
    <cfRule type="expression" dxfId="18" priority="4">
      <formula>ISBLANK(O66)</formula>
    </cfRule>
  </conditionalFormatting>
  <conditionalFormatting sqref="O69">
    <cfRule type="expression" dxfId="17" priority="22">
      <formula>ISBLANK(O69)</formula>
    </cfRule>
  </conditionalFormatting>
  <conditionalFormatting sqref="O74">
    <cfRule type="expression" dxfId="16" priority="21">
      <formula>ISBLANK(O74)</formula>
    </cfRule>
  </conditionalFormatting>
  <pageMargins left="0.78740157480314965" right="0.70866141732283472" top="0.9055118110236221" bottom="0.78740157480314965" header="0.51181102362204722" footer="0.51181102362204722"/>
  <pageSetup paperSize="9" scale="68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7"/>
  <dimension ref="A1:I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RowHeight="13.2" x14ac:dyDescent="0.25"/>
  <cols>
    <col min="1" max="1" width="4.44140625" customWidth="1"/>
    <col min="2" max="2" width="17.33203125" customWidth="1"/>
    <col min="3" max="8" width="17.6640625" customWidth="1"/>
    <col min="9" max="9" width="1.5546875" customWidth="1"/>
  </cols>
  <sheetData>
    <row r="1" spans="1:9" ht="22.5" customHeight="1" x14ac:dyDescent="0.3">
      <c r="B1" s="3" t="str">
        <f ca="1">DFIE!$B$175</f>
        <v>Aggregierte Steuerbemessungsgrundlage (ASG) 2026</v>
      </c>
    </row>
    <row r="3" spans="1:9" ht="0.75" customHeight="1" x14ac:dyDescent="0.25"/>
    <row r="4" spans="1:9" ht="0.75" customHeight="1" x14ac:dyDescent="0.25"/>
    <row r="5" spans="1:9" ht="0.75" customHeight="1" x14ac:dyDescent="0.25"/>
    <row r="6" spans="1:9" ht="12" customHeight="1" x14ac:dyDescent="0.25">
      <c r="B6" s="67" t="str">
        <f ca="1">DFIE!$B$59</f>
        <v>Spalte</v>
      </c>
      <c r="C6" s="68" t="s">
        <v>30</v>
      </c>
      <c r="D6" s="68" t="s">
        <v>31</v>
      </c>
      <c r="E6" s="68" t="s">
        <v>32</v>
      </c>
      <c r="F6" s="68" t="s">
        <v>43</v>
      </c>
      <c r="G6" s="68" t="s">
        <v>42</v>
      </c>
      <c r="H6" s="69" t="s">
        <v>33</v>
      </c>
    </row>
    <row r="7" spans="1:9" ht="57" customHeight="1" x14ac:dyDescent="0.25">
      <c r="B7" s="45"/>
      <c r="C7" s="63" t="str">
        <f ca="1">DFIE!$B$176</f>
        <v>Massgebendes
Einkommen der
natürlichen
Personen</v>
      </c>
      <c r="D7" s="63" t="str">
        <f ca="1">DFIE!$B$177</f>
        <v>Massgebendes
quellenbesteuertes
Einkommen</v>
      </c>
      <c r="E7" s="63" t="str">
        <f ca="1">DFIE!$B$178</f>
        <v>Massgebendes
Vermögen</v>
      </c>
      <c r="F7" s="63" t="str">
        <f ca="1">DFIE!$B$179</f>
        <v>Massgebender
Gewinn der
juristischen
Personen</v>
      </c>
      <c r="G7" s="63" t="str">
        <f ca="1">DFIE!$B$180</f>
        <v>Massgebende
Steuer-
repartitionen</v>
      </c>
      <c r="H7" s="64" t="str">
        <f ca="1">DFIE!$B$181</f>
        <v>ASG Total</v>
      </c>
    </row>
    <row r="8" spans="1:9" ht="12.75" customHeight="1" x14ac:dyDescent="0.25">
      <c r="B8" s="76" t="str">
        <f ca="1">DFIE!$B$62</f>
        <v>Einheit</v>
      </c>
      <c r="C8" s="35" t="str">
        <f ca="1">DFIE!$B$64</f>
        <v>CHF 1'000</v>
      </c>
      <c r="D8" s="35" t="str">
        <f ca="1">DFIE!$B$64</f>
        <v>CHF 1'000</v>
      </c>
      <c r="E8" s="35" t="str">
        <f ca="1">DFIE!$B$64</f>
        <v>CHF 1'000</v>
      </c>
      <c r="F8" s="35" t="str">
        <f ca="1">DFIE!$B$64</f>
        <v>CHF 1'000</v>
      </c>
      <c r="G8" s="35" t="str">
        <f ca="1">DFIE!$B$64</f>
        <v>CHF 1'000</v>
      </c>
      <c r="H8" s="36" t="str">
        <f ca="1">DFIE!$B$64</f>
        <v>CHF 1'000</v>
      </c>
      <c r="I8" s="34"/>
    </row>
    <row r="9" spans="1:9" x14ac:dyDescent="0.25">
      <c r="A9" s="582" t="str">
        <f ca="1">DFIE!$B$73</f>
        <v>Bemessungsjahr 2020</v>
      </c>
      <c r="B9" s="31" t="str">
        <f ca="1">DFIE!$B$32</f>
        <v>Zürich</v>
      </c>
      <c r="C9" s="94">
        <f>NP!E9</f>
        <v>43423164</v>
      </c>
      <c r="D9" s="94">
        <f>QS!X9</f>
        <v>2105969.2832615147</v>
      </c>
      <c r="E9" s="94">
        <f>VERM!D9</f>
        <v>7166688.8999999994</v>
      </c>
      <c r="F9" s="94">
        <f>JP!$H9</f>
        <v>5964873.7852095198</v>
      </c>
      <c r="G9" s="94">
        <f>REP!I9</f>
        <v>171874.83349446999</v>
      </c>
      <c r="H9" s="52">
        <f>SUM(C9:G9)</f>
        <v>58832570.801965505</v>
      </c>
      <c r="I9" s="41"/>
    </row>
    <row r="10" spans="1:9" x14ac:dyDescent="0.25">
      <c r="A10" s="582"/>
      <c r="B10" s="16" t="str">
        <f ca="1">DFIE!$B$33</f>
        <v>Bern</v>
      </c>
      <c r="C10" s="95">
        <f>NP!E10</f>
        <v>18995546.599999998</v>
      </c>
      <c r="D10" s="95">
        <f>QS!X10</f>
        <v>670452.01730622072</v>
      </c>
      <c r="E10" s="95">
        <f>VERM!D10</f>
        <v>3327125.360715</v>
      </c>
      <c r="F10" s="95">
        <f>JP!$H10</f>
        <v>2336623.4947447199</v>
      </c>
      <c r="G10" s="95">
        <f>REP!I10</f>
        <v>-683097.67414792103</v>
      </c>
      <c r="H10" s="47">
        <f t="shared" ref="H10:H34" si="0">SUM(C10:G10)</f>
        <v>24646649.798618015</v>
      </c>
      <c r="I10" s="41"/>
    </row>
    <row r="11" spans="1:9" x14ac:dyDescent="0.25">
      <c r="A11" s="582"/>
      <c r="B11" s="15" t="str">
        <f ca="1">DFIE!$B$34</f>
        <v>Luzern</v>
      </c>
      <c r="C11" s="96">
        <f>NP!E11</f>
        <v>8466507.5999999978</v>
      </c>
      <c r="D11" s="96">
        <f>QS!X11</f>
        <v>339653.58703169122</v>
      </c>
      <c r="E11" s="96">
        <f>VERM!D11</f>
        <v>1673306.9519400001</v>
      </c>
      <c r="F11" s="96">
        <f>JP!$H11</f>
        <v>1626511.284824</v>
      </c>
      <c r="G11" s="96">
        <f>REP!I11</f>
        <v>-20183.415524566699</v>
      </c>
      <c r="H11" s="48">
        <f t="shared" si="0"/>
        <v>12085796.008271122</v>
      </c>
      <c r="I11" s="41"/>
    </row>
    <row r="12" spans="1:9" x14ac:dyDescent="0.25">
      <c r="A12" s="582"/>
      <c r="B12" s="16" t="str">
        <f ca="1">DFIE!$B$35</f>
        <v>Uri</v>
      </c>
      <c r="C12" s="95">
        <f>NP!E12</f>
        <v>616914.4</v>
      </c>
      <c r="D12" s="95">
        <f>QS!X12</f>
        <v>33075.196096941174</v>
      </c>
      <c r="E12" s="95">
        <f>VERM!D12</f>
        <v>124569.236685</v>
      </c>
      <c r="F12" s="95">
        <f>JP!$H12</f>
        <v>60804.918899999997</v>
      </c>
      <c r="G12" s="95">
        <f>REP!I12</f>
        <v>-3904.70621629673</v>
      </c>
      <c r="H12" s="47">
        <f t="shared" si="0"/>
        <v>831459.04546564445</v>
      </c>
      <c r="I12" s="41"/>
    </row>
    <row r="13" spans="1:9" x14ac:dyDescent="0.25">
      <c r="A13" s="582"/>
      <c r="B13" s="15" t="str">
        <f ca="1">DFIE!$B$36</f>
        <v>Schwyz</v>
      </c>
      <c r="C13" s="96">
        <f>NP!E13</f>
        <v>6337866.7149999999</v>
      </c>
      <c r="D13" s="96">
        <f>QS!X13</f>
        <v>175551.09062235293</v>
      </c>
      <c r="E13" s="96">
        <f>VERM!D13</f>
        <v>2134344.7466250001</v>
      </c>
      <c r="F13" s="96">
        <f>JP!$H13</f>
        <v>836172.62222084007</v>
      </c>
      <c r="G13" s="96">
        <f>REP!I13</f>
        <v>-6984.0493137876101</v>
      </c>
      <c r="H13" s="48">
        <f t="shared" si="0"/>
        <v>9476951.1251544058</v>
      </c>
      <c r="I13" s="41"/>
    </row>
    <row r="14" spans="1:9" x14ac:dyDescent="0.25">
      <c r="A14" s="582"/>
      <c r="B14" s="16" t="str">
        <f ca="1">DFIE!$B$37</f>
        <v>Obwalden</v>
      </c>
      <c r="C14" s="95">
        <f>NP!E14</f>
        <v>988237.42100000009</v>
      </c>
      <c r="D14" s="95">
        <f>QS!X14</f>
        <v>42564.071604147059</v>
      </c>
      <c r="E14" s="95">
        <f>VERM!D14</f>
        <v>248913.75826500001</v>
      </c>
      <c r="F14" s="95">
        <f>JP!$H14</f>
        <v>114342.90851015999</v>
      </c>
      <c r="G14" s="95">
        <f>REP!I14</f>
        <v>-1013.79139792208</v>
      </c>
      <c r="H14" s="47">
        <f t="shared" si="0"/>
        <v>1393044.3679813852</v>
      </c>
      <c r="I14" s="41"/>
    </row>
    <row r="15" spans="1:9" x14ac:dyDescent="0.25">
      <c r="A15" s="582"/>
      <c r="B15" s="15" t="str">
        <f ca="1">DFIE!$B$38</f>
        <v>Nidwalden</v>
      </c>
      <c r="C15" s="96">
        <f>NP!E15</f>
        <v>1394589.9</v>
      </c>
      <c r="D15" s="96">
        <f>QS!X15</f>
        <v>45459.011786147064</v>
      </c>
      <c r="E15" s="96">
        <f>VERM!D15</f>
        <v>611129.80783499999</v>
      </c>
      <c r="F15" s="96">
        <f>JP!$H15</f>
        <v>187527.65533896</v>
      </c>
      <c r="G15" s="96">
        <f>REP!I15</f>
        <v>240.513377458371</v>
      </c>
      <c r="H15" s="48">
        <f t="shared" si="0"/>
        <v>2238946.8883375651</v>
      </c>
      <c r="I15" s="41"/>
    </row>
    <row r="16" spans="1:9" x14ac:dyDescent="0.25">
      <c r="A16" s="582"/>
      <c r="B16" s="16" t="str">
        <f ca="1">DFIE!$B$39</f>
        <v>Glarus</v>
      </c>
      <c r="C16" s="95">
        <f>NP!E16</f>
        <v>672943.3</v>
      </c>
      <c r="D16" s="95">
        <f>QS!X16</f>
        <v>51295.358184411765</v>
      </c>
      <c r="E16" s="95">
        <f>VERM!D16</f>
        <v>129046.39460999999</v>
      </c>
      <c r="F16" s="95">
        <f>JP!$H16</f>
        <v>103965.385188</v>
      </c>
      <c r="G16" s="95">
        <f>REP!I16</f>
        <v>3767.09726438899</v>
      </c>
      <c r="H16" s="47">
        <f t="shared" si="0"/>
        <v>961017.53524680086</v>
      </c>
      <c r="I16" s="41"/>
    </row>
    <row r="17" spans="1:9" x14ac:dyDescent="0.25">
      <c r="A17" s="582"/>
      <c r="B17" s="15" t="str">
        <f ca="1">DFIE!$B$40</f>
        <v>Zug</v>
      </c>
      <c r="C17" s="96">
        <f>NP!E17</f>
        <v>6166320.9000000004</v>
      </c>
      <c r="D17" s="96">
        <f>QS!X17</f>
        <v>260606.88621297062</v>
      </c>
      <c r="E17" s="96">
        <f>VERM!D17</f>
        <v>1348302.1141950001</v>
      </c>
      <c r="F17" s="96">
        <f>JP!$H17</f>
        <v>2942997.5954940002</v>
      </c>
      <c r="G17" s="96">
        <f>REP!I17</f>
        <v>3674.1103989154199</v>
      </c>
      <c r="H17" s="48">
        <f t="shared" si="0"/>
        <v>10721901.606300887</v>
      </c>
      <c r="I17" s="41"/>
    </row>
    <row r="18" spans="1:9" x14ac:dyDescent="0.25">
      <c r="A18" s="582"/>
      <c r="B18" s="16" t="str">
        <f ca="1">DFIE!$B$41</f>
        <v>Freiburg</v>
      </c>
      <c r="C18" s="95">
        <f>NP!E18</f>
        <v>5903317.8279999997</v>
      </c>
      <c r="D18" s="95">
        <f>QS!X18</f>
        <v>273547.90663394122</v>
      </c>
      <c r="E18" s="95">
        <f>VERM!D18</f>
        <v>538313.62236000004</v>
      </c>
      <c r="F18" s="95">
        <f>JP!$H18</f>
        <v>1064925.7808690001</v>
      </c>
      <c r="G18" s="95">
        <f>REP!I18</f>
        <v>-18983.683388785099</v>
      </c>
      <c r="H18" s="47">
        <f t="shared" si="0"/>
        <v>7761121.4544741558</v>
      </c>
      <c r="I18" s="41"/>
    </row>
    <row r="19" spans="1:9" x14ac:dyDescent="0.25">
      <c r="A19" s="582"/>
      <c r="B19" s="15" t="str">
        <f ca="1">DFIE!$B$42</f>
        <v>Solothurn</v>
      </c>
      <c r="C19" s="96">
        <f>NP!E19</f>
        <v>5384380</v>
      </c>
      <c r="D19" s="96">
        <f>QS!X19</f>
        <v>229290.17071223527</v>
      </c>
      <c r="E19" s="96">
        <f>VERM!D19</f>
        <v>479596.97380500002</v>
      </c>
      <c r="F19" s="96">
        <f>JP!$H19</f>
        <v>497818.22161800001</v>
      </c>
      <c r="G19" s="96">
        <f>REP!I19</f>
        <v>-482.97774828984802</v>
      </c>
      <c r="H19" s="48">
        <f t="shared" si="0"/>
        <v>6590602.3883869462</v>
      </c>
      <c r="I19" s="41"/>
    </row>
    <row r="20" spans="1:9" x14ac:dyDescent="0.25">
      <c r="A20" s="582"/>
      <c r="B20" s="16" t="str">
        <f ca="1">DFIE!$B$43</f>
        <v>Basel-Stadt</v>
      </c>
      <c r="C20" s="95">
        <f>NP!E20</f>
        <v>5648091.5999999996</v>
      </c>
      <c r="D20" s="95">
        <f>QS!X20</f>
        <v>862494.4346510882</v>
      </c>
      <c r="E20" s="95">
        <f>VERM!D20</f>
        <v>1059412.9819349998</v>
      </c>
      <c r="F20" s="95">
        <f>JP!$H20</f>
        <v>2117117.2814969998</v>
      </c>
      <c r="G20" s="95">
        <f>REP!I20</f>
        <v>-13127.3071706312</v>
      </c>
      <c r="H20" s="47">
        <f t="shared" si="0"/>
        <v>9673988.9909124561</v>
      </c>
      <c r="I20" s="41"/>
    </row>
    <row r="21" spans="1:9" x14ac:dyDescent="0.25">
      <c r="A21" s="582"/>
      <c r="B21" s="15" t="str">
        <f ca="1">DFIE!$B$44</f>
        <v>Basel-Landschaft</v>
      </c>
      <c r="C21" s="96">
        <f>NP!E21</f>
        <v>7519082.5</v>
      </c>
      <c r="D21" s="96">
        <f>QS!X21</f>
        <v>446121.73399929411</v>
      </c>
      <c r="E21" s="96">
        <f>VERM!D21</f>
        <v>746449.19169000001</v>
      </c>
      <c r="F21" s="96">
        <f>JP!$H21</f>
        <v>821112.99979604001</v>
      </c>
      <c r="G21" s="96">
        <f>REP!I21</f>
        <v>-20448.788492555901</v>
      </c>
      <c r="H21" s="48">
        <f t="shared" si="0"/>
        <v>9512317.6369927786</v>
      </c>
      <c r="I21" s="41"/>
    </row>
    <row r="22" spans="1:9" x14ac:dyDescent="0.25">
      <c r="A22" s="582"/>
      <c r="B22" s="16" t="str">
        <f ca="1">DFIE!$B$45</f>
        <v>Schaffhausen</v>
      </c>
      <c r="C22" s="95">
        <f>NP!E22</f>
        <v>1580530.5999999999</v>
      </c>
      <c r="D22" s="95">
        <f>QS!X22</f>
        <v>137349.31967950001</v>
      </c>
      <c r="E22" s="95">
        <f>VERM!D22</f>
        <v>251245.35713999998</v>
      </c>
      <c r="F22" s="95">
        <f>JP!$H22</f>
        <v>763443.22869999998</v>
      </c>
      <c r="G22" s="95">
        <f>REP!I22</f>
        <v>14811.5075105464</v>
      </c>
      <c r="H22" s="47">
        <f t="shared" si="0"/>
        <v>2747380.0130300466</v>
      </c>
      <c r="I22" s="41"/>
    </row>
    <row r="23" spans="1:9" x14ac:dyDescent="0.25">
      <c r="A23" s="582"/>
      <c r="B23" s="15" t="str">
        <f ca="1">DFIE!$B$46</f>
        <v>Appenzell A.Rh.</v>
      </c>
      <c r="C23" s="96">
        <f>NP!E23</f>
        <v>1093695.69</v>
      </c>
      <c r="D23" s="96">
        <f>QS!X23</f>
        <v>24539.339948058827</v>
      </c>
      <c r="E23" s="96">
        <f>VERM!D23</f>
        <v>264263.46814499999</v>
      </c>
      <c r="F23" s="96">
        <f>JP!$H23</f>
        <v>138832.07028800002</v>
      </c>
      <c r="G23" s="96">
        <f>REP!I23</f>
        <v>7565.9633810291698</v>
      </c>
      <c r="H23" s="48">
        <f t="shared" si="0"/>
        <v>1528896.531762088</v>
      </c>
      <c r="I23" s="41"/>
    </row>
    <row r="24" spans="1:9" x14ac:dyDescent="0.25">
      <c r="A24" s="582"/>
      <c r="B24" s="16" t="str">
        <f ca="1">DFIE!$B$47</f>
        <v>Appenzell I.Rh.</v>
      </c>
      <c r="C24" s="95">
        <f>NP!E24</f>
        <v>372215.19999999995</v>
      </c>
      <c r="D24" s="95">
        <f>QS!X24</f>
        <v>10067.560263338235</v>
      </c>
      <c r="E24" s="95">
        <f>VERM!D24</f>
        <v>108842.242155</v>
      </c>
      <c r="F24" s="95">
        <f>JP!$H24</f>
        <v>60173.710756</v>
      </c>
      <c r="G24" s="95">
        <f>REP!I24</f>
        <v>697.39300149348503</v>
      </c>
      <c r="H24" s="47">
        <f t="shared" si="0"/>
        <v>551996.10617583164</v>
      </c>
      <c r="I24" s="41"/>
    </row>
    <row r="25" spans="1:9" x14ac:dyDescent="0.25">
      <c r="A25" s="582"/>
      <c r="B25" s="15" t="str">
        <f ca="1">DFIE!$B$48</f>
        <v>St. Gallen</v>
      </c>
      <c r="C25" s="96">
        <f>NP!E25</f>
        <v>9178990.6999999993</v>
      </c>
      <c r="D25" s="96">
        <f>QS!X25</f>
        <v>540314.38083129411</v>
      </c>
      <c r="E25" s="96">
        <f>VERM!D25</f>
        <v>1949662.5720299999</v>
      </c>
      <c r="F25" s="96">
        <f>JP!$H25</f>
        <v>1574551.2758238001</v>
      </c>
      <c r="G25" s="96">
        <f>REP!I25</f>
        <v>14265.1943140809</v>
      </c>
      <c r="H25" s="48">
        <f t="shared" si="0"/>
        <v>13257784.122999175</v>
      </c>
      <c r="I25" s="41"/>
    </row>
    <row r="26" spans="1:9" x14ac:dyDescent="0.25">
      <c r="A26" s="582"/>
      <c r="B26" s="16" t="str">
        <f ca="1">DFIE!$B$49</f>
        <v>Graubünden</v>
      </c>
      <c r="C26" s="95">
        <f>NP!E26</f>
        <v>3994728.128</v>
      </c>
      <c r="D26" s="95">
        <f>QS!X26</f>
        <v>452244.0729895765</v>
      </c>
      <c r="E26" s="95">
        <f>VERM!D26</f>
        <v>1106632.2104849999</v>
      </c>
      <c r="F26" s="95">
        <f>JP!$H26</f>
        <v>534943.241882</v>
      </c>
      <c r="G26" s="95">
        <f>REP!I26</f>
        <v>76734.916237422804</v>
      </c>
      <c r="H26" s="47">
        <f t="shared" si="0"/>
        <v>6165282.5695939995</v>
      </c>
      <c r="I26" s="41"/>
    </row>
    <row r="27" spans="1:9" x14ac:dyDescent="0.25">
      <c r="A27" s="582"/>
      <c r="B27" s="15" t="str">
        <f ca="1">DFIE!$B$50</f>
        <v>Aargau</v>
      </c>
      <c r="C27" s="96">
        <f>NP!E27</f>
        <v>14478977.200000001</v>
      </c>
      <c r="D27" s="96">
        <f>QS!X27</f>
        <v>810022.02058035298</v>
      </c>
      <c r="E27" s="96">
        <f>VERM!D27</f>
        <v>2070272.8470899998</v>
      </c>
      <c r="F27" s="96">
        <f>JP!$H27</f>
        <v>1183179.3341900001</v>
      </c>
      <c r="G27" s="96">
        <f>REP!I27</f>
        <v>39548.119410634798</v>
      </c>
      <c r="H27" s="48">
        <f t="shared" si="0"/>
        <v>18581999.521270987</v>
      </c>
      <c r="I27" s="41"/>
    </row>
    <row r="28" spans="1:9" x14ac:dyDescent="0.25">
      <c r="A28" s="582"/>
      <c r="B28" s="16" t="str">
        <f ca="1">DFIE!$B$51</f>
        <v>Thurgau</v>
      </c>
      <c r="C28" s="95">
        <f>NP!E28</f>
        <v>5511002.6999999993</v>
      </c>
      <c r="D28" s="95">
        <f>QS!X28</f>
        <v>378658.92907232355</v>
      </c>
      <c r="E28" s="95">
        <f>VERM!D28</f>
        <v>1040191.0905</v>
      </c>
      <c r="F28" s="95">
        <f>JP!$H28</f>
        <v>708210.73245759995</v>
      </c>
      <c r="G28" s="95">
        <f>REP!I28</f>
        <v>2960.1101463106302</v>
      </c>
      <c r="H28" s="47">
        <f t="shared" si="0"/>
        <v>7641023.5621762322</v>
      </c>
      <c r="I28" s="41"/>
    </row>
    <row r="29" spans="1:9" x14ac:dyDescent="0.25">
      <c r="A29" s="582"/>
      <c r="B29" s="15" t="str">
        <f ca="1">DFIE!$B$52</f>
        <v>Tessin</v>
      </c>
      <c r="C29" s="96">
        <f>NP!E29</f>
        <v>7171131.9000000004</v>
      </c>
      <c r="D29" s="96">
        <f>QS!X29</f>
        <v>1133682.5673691002</v>
      </c>
      <c r="E29" s="96">
        <f>VERM!D29</f>
        <v>1245055.618155</v>
      </c>
      <c r="F29" s="96">
        <f>JP!$H29</f>
        <v>831194.30947400001</v>
      </c>
      <c r="G29" s="96">
        <f>REP!I29</f>
        <v>54772.064751609498</v>
      </c>
      <c r="H29" s="48">
        <f t="shared" si="0"/>
        <v>10435836.459749712</v>
      </c>
      <c r="I29" s="41"/>
    </row>
    <row r="30" spans="1:9" x14ac:dyDescent="0.25">
      <c r="A30" s="582"/>
      <c r="B30" s="16" t="str">
        <f ca="1">DFIE!$B$53</f>
        <v>Waadt</v>
      </c>
      <c r="C30" s="95">
        <f>NP!E30</f>
        <v>19236133.800000001</v>
      </c>
      <c r="D30" s="95">
        <f>QS!X30</f>
        <v>1379496.2471564705</v>
      </c>
      <c r="E30" s="95">
        <f>VERM!D30</f>
        <v>2433107.8199999998</v>
      </c>
      <c r="F30" s="95">
        <f>JP!$H30</f>
        <v>3908404.7298558401</v>
      </c>
      <c r="G30" s="95">
        <f>REP!I30</f>
        <v>-183251.91034724499</v>
      </c>
      <c r="H30" s="47">
        <f t="shared" si="0"/>
        <v>26773890.686665066</v>
      </c>
      <c r="I30" s="41"/>
    </row>
    <row r="31" spans="1:9" x14ac:dyDescent="0.25">
      <c r="A31" s="582"/>
      <c r="B31" s="15" t="str">
        <f ca="1">DFIE!$B$54</f>
        <v>Wallis</v>
      </c>
      <c r="C31" s="96">
        <f>NP!E31</f>
        <v>5896860.1999999993</v>
      </c>
      <c r="D31" s="96">
        <f>QS!X31</f>
        <v>408696.6956039294</v>
      </c>
      <c r="E31" s="96">
        <f>VERM!D31</f>
        <v>944652.07555499999</v>
      </c>
      <c r="F31" s="96">
        <f>JP!$H31</f>
        <v>416268.964615</v>
      </c>
      <c r="G31" s="96">
        <f>REP!I31</f>
        <v>100633.54575973</v>
      </c>
      <c r="H31" s="48">
        <f t="shared" si="0"/>
        <v>7767111.4815336596</v>
      </c>
      <c r="I31" s="41"/>
    </row>
    <row r="32" spans="1:9" x14ac:dyDescent="0.25">
      <c r="A32" s="582"/>
      <c r="B32" s="16" t="str">
        <f ca="1">DFIE!$B$55</f>
        <v>Neuenburg</v>
      </c>
      <c r="C32" s="95">
        <f>NP!E32</f>
        <v>2985857.5</v>
      </c>
      <c r="D32" s="95">
        <f>QS!X32</f>
        <v>288965.98974705883</v>
      </c>
      <c r="E32" s="95">
        <f>VERM!D32</f>
        <v>314959.08684</v>
      </c>
      <c r="F32" s="95">
        <f>JP!$H32</f>
        <v>387449.13982799998</v>
      </c>
      <c r="G32" s="95">
        <f>REP!I32</f>
        <v>404731.26572485798</v>
      </c>
      <c r="H32" s="47">
        <f t="shared" si="0"/>
        <v>4381962.9821399171</v>
      </c>
      <c r="I32" s="41"/>
    </row>
    <row r="33" spans="1:9" x14ac:dyDescent="0.25">
      <c r="A33" s="582"/>
      <c r="B33" s="15" t="str">
        <f ca="1">DFIE!$B$56</f>
        <v>Genf</v>
      </c>
      <c r="C33" s="96">
        <f>NP!E33</f>
        <v>14064661.300000001</v>
      </c>
      <c r="D33" s="96">
        <f>QS!X33</f>
        <v>2820141.8133682497</v>
      </c>
      <c r="E33" s="96">
        <f>VERM!D33</f>
        <v>2466831.2436449998</v>
      </c>
      <c r="F33" s="96">
        <f>JP!$H33</f>
        <v>3908888.2150419997</v>
      </c>
      <c r="G33" s="96">
        <f>REP!I33</f>
        <v>32020.564053787701</v>
      </c>
      <c r="H33" s="48">
        <f t="shared" si="0"/>
        <v>23292543.136109039</v>
      </c>
      <c r="I33" s="41"/>
    </row>
    <row r="34" spans="1:9" x14ac:dyDescent="0.25">
      <c r="A34" s="582"/>
      <c r="B34" s="16" t="str">
        <f ca="1">DFIE!$B$57</f>
        <v>Jura</v>
      </c>
      <c r="C34" s="95">
        <f>NP!E34</f>
        <v>1103541.8999999999</v>
      </c>
      <c r="D34" s="95">
        <f>QS!X34</f>
        <v>108409.74176423528</v>
      </c>
      <c r="E34" s="95">
        <f>VERM!D34</f>
        <v>119210.41499999999</v>
      </c>
      <c r="F34" s="95">
        <f>JP!$H34</f>
        <v>185300.15684800001</v>
      </c>
      <c r="G34" s="95">
        <f>REP!I34</f>
        <v>3820.5850527849402</v>
      </c>
      <c r="H34" s="47">
        <f t="shared" si="0"/>
        <v>1520282.7986650201</v>
      </c>
      <c r="I34" s="41"/>
    </row>
    <row r="35" spans="1:9" x14ac:dyDescent="0.25">
      <c r="A35" s="582"/>
      <c r="B35" s="14" t="str">
        <f ca="1">DFIE!$B$58</f>
        <v>Schweiz</v>
      </c>
      <c r="C35" s="55">
        <f t="shared" ref="C35:H35" si="1">SUM(C9:C34)</f>
        <v>198185289.58200002</v>
      </c>
      <c r="D35" s="55">
        <f t="shared" si="1"/>
        <v>14028669.426476443</v>
      </c>
      <c r="E35" s="55">
        <f t="shared" si="1"/>
        <v>33902126.087400004</v>
      </c>
      <c r="F35" s="55">
        <f t="shared" si="1"/>
        <v>33275633.043970477</v>
      </c>
      <c r="G35" s="55">
        <f>ROUND(SUM(G9:G34),6)</f>
        <v>-19360.519867999999</v>
      </c>
      <c r="H35" s="49">
        <f t="shared" si="1"/>
        <v>279372357.61997849</v>
      </c>
      <c r="I35" s="42"/>
    </row>
    <row r="36" spans="1:9" ht="15" customHeight="1" x14ac:dyDescent="0.25">
      <c r="A36" s="65"/>
      <c r="B36" s="78"/>
      <c r="C36" s="129"/>
      <c r="D36" s="129"/>
      <c r="E36" s="129"/>
      <c r="F36" s="129"/>
      <c r="G36" s="129"/>
      <c r="H36" s="129"/>
    </row>
    <row r="37" spans="1:9" x14ac:dyDescent="0.25">
      <c r="A37" s="583" t="str">
        <f ca="1">DFIE!$B$74</f>
        <v>Bemessungsjahr 2021</v>
      </c>
      <c r="B37" s="31" t="str">
        <f ca="1">DFIE!$B$32</f>
        <v>Zürich</v>
      </c>
      <c r="C37" s="94">
        <f>NP!E37</f>
        <v>45942921.400000006</v>
      </c>
      <c r="D37" s="94">
        <f>QS!X37</f>
        <v>1908755.3413708129</v>
      </c>
      <c r="E37" s="94">
        <f>VERM!G9</f>
        <v>7722119.9699999997</v>
      </c>
      <c r="F37" s="94">
        <f>JP!$H37</f>
        <v>7864426.51208176</v>
      </c>
      <c r="G37" s="94">
        <f>REP!I37</f>
        <v>-194151.86103176701</v>
      </c>
      <c r="H37" s="52">
        <f t="shared" ref="H37:H62" si="2">SUM(C37:G37)</f>
        <v>63244071.362420805</v>
      </c>
      <c r="I37" s="43"/>
    </row>
    <row r="38" spans="1:9" x14ac:dyDescent="0.25">
      <c r="A38" s="583"/>
      <c r="B38" s="16" t="str">
        <f ca="1">DFIE!$B$33</f>
        <v>Bern</v>
      </c>
      <c r="C38" s="95">
        <f>NP!E38</f>
        <v>19599886.420000002</v>
      </c>
      <c r="D38" s="95">
        <f>QS!X38</f>
        <v>689490.17989793746</v>
      </c>
      <c r="E38" s="95">
        <f>VERM!G10</f>
        <v>3543495.7158300001</v>
      </c>
      <c r="F38" s="95">
        <f>JP!$H38</f>
        <v>2635778.0863324804</v>
      </c>
      <c r="G38" s="95">
        <f>REP!I38</f>
        <v>-13191.3647479018</v>
      </c>
      <c r="H38" s="47">
        <f t="shared" si="2"/>
        <v>26455459.037312523</v>
      </c>
      <c r="I38" s="43"/>
    </row>
    <row r="39" spans="1:9" x14ac:dyDescent="0.25">
      <c r="A39" s="583"/>
      <c r="B39" s="15" t="str">
        <f ca="1">DFIE!$B$34</f>
        <v>Luzern</v>
      </c>
      <c r="C39" s="96">
        <f>NP!E39</f>
        <v>8963183.5</v>
      </c>
      <c r="D39" s="96">
        <f>QS!X39</f>
        <v>312035.709202</v>
      </c>
      <c r="E39" s="96">
        <f>VERM!G11</f>
        <v>1760752.3777649999</v>
      </c>
      <c r="F39" s="96">
        <f>JP!$H39</f>
        <v>2408809.1183799999</v>
      </c>
      <c r="G39" s="96">
        <f>REP!I39</f>
        <v>-55584.954379435701</v>
      </c>
      <c r="H39" s="48">
        <f t="shared" si="2"/>
        <v>13389195.750967566</v>
      </c>
      <c r="I39" s="43"/>
    </row>
    <row r="40" spans="1:9" x14ac:dyDescent="0.25">
      <c r="A40" s="583"/>
      <c r="B40" s="16" t="str">
        <f ca="1">DFIE!$B$35</f>
        <v>Uri</v>
      </c>
      <c r="C40" s="95">
        <f>NP!E40</f>
        <v>643777.19999999995</v>
      </c>
      <c r="D40" s="95">
        <f>QS!X40</f>
        <v>33019.215260500001</v>
      </c>
      <c r="E40" s="95">
        <f>VERM!G12</f>
        <v>130588.01205</v>
      </c>
      <c r="F40" s="95">
        <f>JP!$H40</f>
        <v>103653.0629184</v>
      </c>
      <c r="G40" s="95">
        <f>REP!I40</f>
        <v>4525.5591481169004</v>
      </c>
      <c r="H40" s="47">
        <f t="shared" si="2"/>
        <v>915563.04937701684</v>
      </c>
      <c r="I40" s="43"/>
    </row>
    <row r="41" spans="1:9" x14ac:dyDescent="0.25">
      <c r="A41" s="583"/>
      <c r="B41" s="15" t="str">
        <f ca="1">DFIE!$B$36</f>
        <v>Schwyz</v>
      </c>
      <c r="C41" s="96">
        <f>NP!E41</f>
        <v>7123706.7190000005</v>
      </c>
      <c r="D41" s="96">
        <f>QS!X41</f>
        <v>159642.87855481249</v>
      </c>
      <c r="E41" s="96">
        <f>VERM!G13</f>
        <v>2381029.3171799998</v>
      </c>
      <c r="F41" s="96">
        <f>JP!$H41</f>
        <v>1223972.9499135199</v>
      </c>
      <c r="G41" s="96">
        <f>REP!I41</f>
        <v>-1998.23125405937</v>
      </c>
      <c r="H41" s="48">
        <f t="shared" si="2"/>
        <v>10886353.633394273</v>
      </c>
      <c r="I41" s="43"/>
    </row>
    <row r="42" spans="1:9" x14ac:dyDescent="0.25">
      <c r="A42" s="583"/>
      <c r="B42" s="16" t="str">
        <f ca="1">DFIE!$B$37</f>
        <v>Obwalden</v>
      </c>
      <c r="C42" s="95">
        <f>NP!E42</f>
        <v>943279.8339999998</v>
      </c>
      <c r="D42" s="95">
        <f>QS!X42</f>
        <v>37417.700919875002</v>
      </c>
      <c r="E42" s="95">
        <f>VERM!G14</f>
        <v>266037.55940999999</v>
      </c>
      <c r="F42" s="95">
        <f>JP!$H42</f>
        <v>152811.31235104002</v>
      </c>
      <c r="G42" s="95">
        <f>REP!I42</f>
        <v>-7070.4706874561198</v>
      </c>
      <c r="H42" s="47">
        <f t="shared" si="2"/>
        <v>1392475.9359934586</v>
      </c>
      <c r="I42" s="43"/>
    </row>
    <row r="43" spans="1:9" x14ac:dyDescent="0.25">
      <c r="A43" s="583"/>
      <c r="B43" s="15" t="str">
        <f ca="1">DFIE!$B$38</f>
        <v>Nidwalden</v>
      </c>
      <c r="C43" s="96">
        <f>NP!E43</f>
        <v>1419817.449</v>
      </c>
      <c r="D43" s="96">
        <f>QS!X43</f>
        <v>41887.738585999999</v>
      </c>
      <c r="E43" s="96">
        <f>VERM!G15</f>
        <v>667236.4741949999</v>
      </c>
      <c r="F43" s="96">
        <f>JP!$H43</f>
        <v>272295.74746912002</v>
      </c>
      <c r="G43" s="96">
        <f>REP!I43</f>
        <v>-28546.4165640504</v>
      </c>
      <c r="H43" s="48">
        <f t="shared" si="2"/>
        <v>2372690.9926860696</v>
      </c>
      <c r="I43" s="43"/>
    </row>
    <row r="44" spans="1:9" x14ac:dyDescent="0.25">
      <c r="A44" s="583"/>
      <c r="B44" s="16" t="str">
        <f ca="1">DFIE!$B$39</f>
        <v>Glarus</v>
      </c>
      <c r="C44" s="95">
        <f>NP!E44</f>
        <v>702623.84</v>
      </c>
      <c r="D44" s="95">
        <f>QS!X44</f>
        <v>51370.640030250004</v>
      </c>
      <c r="E44" s="95">
        <f>VERM!G16</f>
        <v>135432.34567499999</v>
      </c>
      <c r="F44" s="95">
        <f>JP!$H44</f>
        <v>109406.4504928</v>
      </c>
      <c r="G44" s="95">
        <f>REP!I44</f>
        <v>5199.9935978090798</v>
      </c>
      <c r="H44" s="47">
        <f t="shared" si="2"/>
        <v>1004033.269795859</v>
      </c>
      <c r="I44" s="43"/>
    </row>
    <row r="45" spans="1:9" x14ac:dyDescent="0.25">
      <c r="A45" s="583"/>
      <c r="B45" s="15" t="str">
        <f ca="1">DFIE!$B$40</f>
        <v>Zug</v>
      </c>
      <c r="C45" s="96">
        <f>NP!E45</f>
        <v>7127536</v>
      </c>
      <c r="D45" s="96">
        <f>QS!X45</f>
        <v>286724.581614125</v>
      </c>
      <c r="E45" s="96">
        <f>VERM!G17</f>
        <v>1545731.6773499998</v>
      </c>
      <c r="F45" s="96">
        <f>JP!$H45</f>
        <v>4669458.1069623996</v>
      </c>
      <c r="G45" s="96">
        <f>REP!I45</f>
        <v>25475.0908865079</v>
      </c>
      <c r="H45" s="48">
        <f t="shared" si="2"/>
        <v>13654925.456813032</v>
      </c>
      <c r="I45" s="43"/>
    </row>
    <row r="46" spans="1:9" x14ac:dyDescent="0.25">
      <c r="A46" s="583"/>
      <c r="B46" s="16" t="str">
        <f ca="1">DFIE!$B$41</f>
        <v>Freiburg</v>
      </c>
      <c r="C46" s="95">
        <f>NP!E46</f>
        <v>6124849.9810000006</v>
      </c>
      <c r="D46" s="95">
        <f>QS!X46</f>
        <v>252554.63006375</v>
      </c>
      <c r="E46" s="95">
        <f>VERM!G18</f>
        <v>560859.54130499996</v>
      </c>
      <c r="F46" s="95">
        <f>JP!$H46</f>
        <v>1126411.1913362402</v>
      </c>
      <c r="G46" s="95">
        <f>REP!I46</f>
        <v>-62892.704615762297</v>
      </c>
      <c r="H46" s="47">
        <f t="shared" si="2"/>
        <v>8001782.6390892286</v>
      </c>
      <c r="I46" s="43"/>
    </row>
    <row r="47" spans="1:9" x14ac:dyDescent="0.25">
      <c r="A47" s="583"/>
      <c r="B47" s="15" t="str">
        <f ca="1">DFIE!$B$42</f>
        <v>Solothurn</v>
      </c>
      <c r="C47" s="96">
        <f>NP!E47</f>
        <v>5541476.9999999991</v>
      </c>
      <c r="D47" s="96">
        <f>QS!X47</f>
        <v>218293.60848800003</v>
      </c>
      <c r="E47" s="96">
        <f>VERM!G19</f>
        <v>518381.180085</v>
      </c>
      <c r="F47" s="96">
        <f>JP!$H47</f>
        <v>606588.02044256008</v>
      </c>
      <c r="G47" s="96">
        <f>REP!I47</f>
        <v>11943.1030722049</v>
      </c>
      <c r="H47" s="48">
        <f t="shared" si="2"/>
        <v>6896682.9120877637</v>
      </c>
      <c r="I47" s="43"/>
    </row>
    <row r="48" spans="1:9" x14ac:dyDescent="0.25">
      <c r="A48" s="583"/>
      <c r="B48" s="16" t="str">
        <f ca="1">DFIE!$B$43</f>
        <v>Basel-Stadt</v>
      </c>
      <c r="C48" s="95">
        <f>NP!E48</f>
        <v>5821342.5</v>
      </c>
      <c r="D48" s="95">
        <f>QS!X48</f>
        <v>803437.33594531263</v>
      </c>
      <c r="E48" s="95">
        <f>VERM!G20</f>
        <v>1208905.7352</v>
      </c>
      <c r="F48" s="95">
        <f>JP!$H48</f>
        <v>2820763.7324416004</v>
      </c>
      <c r="G48" s="95">
        <f>REP!I48</f>
        <v>-43835.295174227802</v>
      </c>
      <c r="H48" s="47">
        <f t="shared" si="2"/>
        <v>10610614.008412685</v>
      </c>
      <c r="I48" s="43"/>
    </row>
    <row r="49" spans="1:9" x14ac:dyDescent="0.25">
      <c r="A49" s="583"/>
      <c r="B49" s="15" t="str">
        <f ca="1">DFIE!$B$44</f>
        <v>Basel-Landschaft</v>
      </c>
      <c r="C49" s="96">
        <f>NP!E49</f>
        <v>7704544.1999999993</v>
      </c>
      <c r="D49" s="96">
        <f>QS!X49</f>
        <v>409569.70086350001</v>
      </c>
      <c r="E49" s="96">
        <f>VERM!G21</f>
        <v>787495.38514499995</v>
      </c>
      <c r="F49" s="96">
        <f>JP!$H49</f>
        <v>947524.36362505611</v>
      </c>
      <c r="G49" s="96">
        <f>REP!I49</f>
        <v>-10960.5547580615</v>
      </c>
      <c r="H49" s="48">
        <f t="shared" si="2"/>
        <v>9838173.0948754959</v>
      </c>
      <c r="I49" s="43"/>
    </row>
    <row r="50" spans="1:9" x14ac:dyDescent="0.25">
      <c r="A50" s="583"/>
      <c r="B50" s="16" t="str">
        <f ca="1">DFIE!$B$45</f>
        <v>Schaffhausen</v>
      </c>
      <c r="C50" s="95">
        <f>NP!E50</f>
        <v>1649518.8999999997</v>
      </c>
      <c r="D50" s="95">
        <f>QS!X50</f>
        <v>132232.82947275002</v>
      </c>
      <c r="E50" s="95">
        <f>VERM!G22</f>
        <v>259822.21697999997</v>
      </c>
      <c r="F50" s="95">
        <f>JP!$H50</f>
        <v>1048297.4115960001</v>
      </c>
      <c r="G50" s="95">
        <f>REP!I50</f>
        <v>11996.409202962101</v>
      </c>
      <c r="H50" s="47">
        <f t="shared" si="2"/>
        <v>3101867.7672517118</v>
      </c>
      <c r="I50" s="43"/>
    </row>
    <row r="51" spans="1:9" x14ac:dyDescent="0.25">
      <c r="A51" s="583"/>
      <c r="B51" s="15" t="str">
        <f ca="1">DFIE!$B$46</f>
        <v>Appenzell A.Rh.</v>
      </c>
      <c r="C51" s="96">
        <f>NP!E51</f>
        <v>1172786.915</v>
      </c>
      <c r="D51" s="96">
        <f>QS!X51</f>
        <v>27965.049975187503</v>
      </c>
      <c r="E51" s="96">
        <f>VERM!G23</f>
        <v>288033.94948499999</v>
      </c>
      <c r="F51" s="96">
        <f>JP!$H51</f>
        <v>190892.48259840001</v>
      </c>
      <c r="G51" s="96">
        <f>REP!I51</f>
        <v>-26009.620604867599</v>
      </c>
      <c r="H51" s="48">
        <f t="shared" si="2"/>
        <v>1653668.7764537199</v>
      </c>
      <c r="I51" s="43"/>
    </row>
    <row r="52" spans="1:9" x14ac:dyDescent="0.25">
      <c r="A52" s="583"/>
      <c r="B52" s="16" t="str">
        <f ca="1">DFIE!$B$47</f>
        <v>Appenzell I.Rh.</v>
      </c>
      <c r="C52" s="95">
        <f>NP!E52</f>
        <v>394365.6</v>
      </c>
      <c r="D52" s="95">
        <f>QS!X52</f>
        <v>9980.2252398125001</v>
      </c>
      <c r="E52" s="95">
        <f>VERM!G24</f>
        <v>114872.22412500001</v>
      </c>
      <c r="F52" s="95">
        <f>JP!$H52</f>
        <v>62601.421072000005</v>
      </c>
      <c r="G52" s="95">
        <f>REP!I52</f>
        <v>2265.25473043488</v>
      </c>
      <c r="H52" s="47">
        <f t="shared" si="2"/>
        <v>584084.72516724735</v>
      </c>
      <c r="I52" s="43"/>
    </row>
    <row r="53" spans="1:9" x14ac:dyDescent="0.25">
      <c r="A53" s="583"/>
      <c r="B53" s="15" t="str">
        <f ca="1">DFIE!$B$48</f>
        <v>St. Gallen</v>
      </c>
      <c r="C53" s="96">
        <f>NP!E53</f>
        <v>9568691</v>
      </c>
      <c r="D53" s="96">
        <f>QS!X53</f>
        <v>551297.45970150002</v>
      </c>
      <c r="E53" s="96">
        <f>VERM!G25</f>
        <v>2069635.2938099999</v>
      </c>
      <c r="F53" s="96">
        <f>JP!$H53</f>
        <v>1835368.254759856</v>
      </c>
      <c r="G53" s="96">
        <f>REP!I53</f>
        <v>13526.748406967299</v>
      </c>
      <c r="H53" s="48">
        <f t="shared" si="2"/>
        <v>14038518.756678324</v>
      </c>
      <c r="I53" s="43"/>
    </row>
    <row r="54" spans="1:9" x14ac:dyDescent="0.25">
      <c r="A54" s="583"/>
      <c r="B54" s="16" t="str">
        <f ca="1">DFIE!$B$49</f>
        <v>Graubünden</v>
      </c>
      <c r="C54" s="95">
        <f>NP!E54</f>
        <v>4192452.4899999998</v>
      </c>
      <c r="D54" s="95">
        <f>QS!X54</f>
        <v>455304.56589952507</v>
      </c>
      <c r="E54" s="95">
        <f>VERM!G26</f>
        <v>1276517.319255</v>
      </c>
      <c r="F54" s="95">
        <f>JP!$H54</f>
        <v>622683.49140880001</v>
      </c>
      <c r="G54" s="95">
        <f>REP!I54</f>
        <v>79309.551845006499</v>
      </c>
      <c r="H54" s="47">
        <f t="shared" si="2"/>
        <v>6626267.4184083315</v>
      </c>
      <c r="I54" s="43"/>
    </row>
    <row r="55" spans="1:9" x14ac:dyDescent="0.25">
      <c r="A55" s="583"/>
      <c r="B55" s="15" t="str">
        <f ca="1">DFIE!$B$50</f>
        <v>Aargau</v>
      </c>
      <c r="C55" s="96">
        <f>NP!E55</f>
        <v>14865047.699999997</v>
      </c>
      <c r="D55" s="96">
        <f>QS!X55</f>
        <v>808264.12671781261</v>
      </c>
      <c r="E55" s="96">
        <f>VERM!G27</f>
        <v>2172331.1601749999</v>
      </c>
      <c r="F55" s="96">
        <f>JP!$H55</f>
        <v>1295481.2399026719</v>
      </c>
      <c r="G55" s="96">
        <f>REP!I55</f>
        <v>39976.844224296197</v>
      </c>
      <c r="H55" s="48">
        <f t="shared" si="2"/>
        <v>19181101.07101978</v>
      </c>
      <c r="I55" s="43"/>
    </row>
    <row r="56" spans="1:9" x14ac:dyDescent="0.25">
      <c r="A56" s="583"/>
      <c r="B56" s="16" t="str">
        <f ca="1">DFIE!$B$51</f>
        <v>Thurgau</v>
      </c>
      <c r="C56" s="95">
        <f>NP!E56</f>
        <v>5598679.3999999985</v>
      </c>
      <c r="D56" s="95">
        <f>QS!X56</f>
        <v>346387.58135606255</v>
      </c>
      <c r="E56" s="95">
        <f>VERM!G28</f>
        <v>1114942.017</v>
      </c>
      <c r="F56" s="95">
        <f>JP!$H56</f>
        <v>798442.24352671998</v>
      </c>
      <c r="G56" s="95">
        <f>REP!I56</f>
        <v>-888.57715166161802</v>
      </c>
      <c r="H56" s="47">
        <f t="shared" si="2"/>
        <v>7857562.6647311188</v>
      </c>
      <c r="I56" s="43"/>
    </row>
    <row r="57" spans="1:9" x14ac:dyDescent="0.25">
      <c r="A57" s="583"/>
      <c r="B57" s="15" t="str">
        <f ca="1">DFIE!$B$52</f>
        <v>Tessin</v>
      </c>
      <c r="C57" s="96">
        <f>NP!E57</f>
        <v>7455359.8999999994</v>
      </c>
      <c r="D57" s="96">
        <f>QS!X57</f>
        <v>1127792.1420313625</v>
      </c>
      <c r="E57" s="96">
        <f>VERM!G29</f>
        <v>1315332.7649999999</v>
      </c>
      <c r="F57" s="96">
        <f>JP!$H57</f>
        <v>1063111.4936999199</v>
      </c>
      <c r="G57" s="96">
        <f>REP!I57</f>
        <v>72492.312097747505</v>
      </c>
      <c r="H57" s="48">
        <f t="shared" si="2"/>
        <v>11034088.61282903</v>
      </c>
      <c r="I57" s="43"/>
    </row>
    <row r="58" spans="1:9" x14ac:dyDescent="0.25">
      <c r="A58" s="583"/>
      <c r="B58" s="16" t="str">
        <f ca="1">DFIE!$B$53</f>
        <v>Waadt</v>
      </c>
      <c r="C58" s="95">
        <f>NP!E58</f>
        <v>19913720.700000003</v>
      </c>
      <c r="D58" s="95">
        <f>QS!X58</f>
        <v>1252467.838862</v>
      </c>
      <c r="E58" s="95">
        <f>VERM!G30</f>
        <v>2614624.359255</v>
      </c>
      <c r="F58" s="95">
        <f>JP!$H58</f>
        <v>4655903.2323940806</v>
      </c>
      <c r="G58" s="95">
        <f>REP!I58</f>
        <v>76036.654830658998</v>
      </c>
      <c r="H58" s="47">
        <f t="shared" si="2"/>
        <v>28512752.785341747</v>
      </c>
      <c r="I58" s="43"/>
    </row>
    <row r="59" spans="1:9" x14ac:dyDescent="0.25">
      <c r="A59" s="583"/>
      <c r="B59" s="15" t="str">
        <f ca="1">DFIE!$B$54</f>
        <v>Wallis</v>
      </c>
      <c r="C59" s="96">
        <f>NP!E59</f>
        <v>6257885.2999999998</v>
      </c>
      <c r="D59" s="96">
        <f>QS!X59</f>
        <v>432029.59272920003</v>
      </c>
      <c r="E59" s="96">
        <f>VERM!G31</f>
        <v>1055497.1375249999</v>
      </c>
      <c r="F59" s="96">
        <f>JP!$H59</f>
        <v>527889.508684</v>
      </c>
      <c r="G59" s="96">
        <f>REP!I59</f>
        <v>117557.78753931601</v>
      </c>
      <c r="H59" s="48">
        <f t="shared" si="2"/>
        <v>8390859.3264775146</v>
      </c>
      <c r="I59" s="43"/>
    </row>
    <row r="60" spans="1:9" x14ac:dyDescent="0.25">
      <c r="A60" s="583"/>
      <c r="B60" s="16" t="str">
        <f ca="1">DFIE!$B$55</f>
        <v>Neuenburg</v>
      </c>
      <c r="C60" s="95">
        <f>NP!E60</f>
        <v>3166589.5999999996</v>
      </c>
      <c r="D60" s="95">
        <f>QS!X60</f>
        <v>243341.98924549998</v>
      </c>
      <c r="E60" s="95">
        <f>VERM!G32</f>
        <v>330612.83785499999</v>
      </c>
      <c r="F60" s="95">
        <f>JP!$H60</f>
        <v>529401.61062639998</v>
      </c>
      <c r="G60" s="95">
        <f>REP!I60</f>
        <v>13518.532164075699</v>
      </c>
      <c r="H60" s="47">
        <f t="shared" si="2"/>
        <v>4283464.569890975</v>
      </c>
      <c r="I60" s="43"/>
    </row>
    <row r="61" spans="1:9" x14ac:dyDescent="0.25">
      <c r="A61" s="583"/>
      <c r="B61" s="15" t="str">
        <f ca="1">DFIE!$B$56</f>
        <v>Genf</v>
      </c>
      <c r="C61" s="96">
        <f>NP!E61</f>
        <v>15460845.499999998</v>
      </c>
      <c r="D61" s="96">
        <f>QS!X61</f>
        <v>2704507.1537861321</v>
      </c>
      <c r="E61" s="96">
        <f>VERM!G33</f>
        <v>2640465.3623699998</v>
      </c>
      <c r="F61" s="96">
        <f>JP!$H61</f>
        <v>5474215.8907192005</v>
      </c>
      <c r="G61" s="96">
        <f>REP!I61</f>
        <v>16802.7542109024</v>
      </c>
      <c r="H61" s="48">
        <f t="shared" si="2"/>
        <v>26296836.661086235</v>
      </c>
      <c r="I61" s="43"/>
    </row>
    <row r="62" spans="1:9" x14ac:dyDescent="0.25">
      <c r="A62" s="583"/>
      <c r="B62" s="16" t="str">
        <f ca="1">DFIE!$B$57</f>
        <v>Jura</v>
      </c>
      <c r="C62" s="95">
        <f>NP!E62</f>
        <v>1116408.2000000002</v>
      </c>
      <c r="D62" s="95">
        <f>QS!X62</f>
        <v>107983.55388399999</v>
      </c>
      <c r="E62" s="95">
        <f>VERM!G34</f>
        <v>126726.03</v>
      </c>
      <c r="F62" s="95">
        <f>JP!$H62</f>
        <v>275516.61844799999</v>
      </c>
      <c r="G62" s="95">
        <f>REP!I62</f>
        <v>12589.8060362907</v>
      </c>
      <c r="H62" s="47">
        <f t="shared" si="2"/>
        <v>1639224.2083682909</v>
      </c>
      <c r="I62" s="43"/>
    </row>
    <row r="63" spans="1:9" x14ac:dyDescent="0.25">
      <c r="A63" s="583"/>
      <c r="B63" s="14" t="str">
        <f ca="1">DFIE!$B$58</f>
        <v>Schweiz</v>
      </c>
      <c r="C63" s="55">
        <f t="shared" ref="C63:H63" si="3">SUM(C37:C62)</f>
        <v>208471297.24800006</v>
      </c>
      <c r="D63" s="55">
        <f t="shared" si="3"/>
        <v>13403753.36969772</v>
      </c>
      <c r="E63" s="55">
        <f t="shared" si="3"/>
        <v>36607477.964024998</v>
      </c>
      <c r="F63" s="55">
        <f t="shared" si="3"/>
        <v>43321703.554183021</v>
      </c>
      <c r="G63" s="55">
        <f>ROUND(SUM(G37:G62),6)</f>
        <v>58086.351024000003</v>
      </c>
      <c r="H63" s="49">
        <f t="shared" si="3"/>
        <v>301862318.48692983</v>
      </c>
      <c r="I63" s="43"/>
    </row>
    <row r="64" spans="1:9" ht="14.25" customHeight="1" x14ac:dyDescent="0.25">
      <c r="A64" s="66"/>
      <c r="B64" s="78"/>
      <c r="C64" s="129"/>
      <c r="D64" s="129"/>
      <c r="E64" s="129"/>
      <c r="F64" s="129"/>
      <c r="G64" s="129"/>
      <c r="H64" s="129"/>
    </row>
    <row r="65" spans="1:9" x14ac:dyDescent="0.25">
      <c r="A65" s="584" t="str">
        <f ca="1">DFIE!$B$75</f>
        <v>Bemessungsjahr 2022</v>
      </c>
      <c r="B65" s="31" t="str">
        <f ca="1">DFIE!$B$32</f>
        <v>Zürich</v>
      </c>
      <c r="C65" s="94">
        <f>NP!E65</f>
        <v>48328253.5</v>
      </c>
      <c r="D65" s="94">
        <f>QS!X65</f>
        <v>2115685.1225564266</v>
      </c>
      <c r="E65" s="94">
        <f>VERM!J9</f>
        <v>7555066.6200000001</v>
      </c>
      <c r="F65" s="94">
        <f>JP!$H65</f>
        <v>8104737.9619198963</v>
      </c>
      <c r="G65" s="94">
        <f>REP!I65</f>
        <v>-625646.01184365549</v>
      </c>
      <c r="H65" s="52">
        <f t="shared" ref="H65:H90" si="4">SUM(C65:G65)</f>
        <v>65478097.19263266</v>
      </c>
      <c r="I65" s="46"/>
    </row>
    <row r="66" spans="1:9" x14ac:dyDescent="0.25">
      <c r="A66" s="584"/>
      <c r="B66" s="16" t="str">
        <f ca="1">DFIE!$B$33</f>
        <v>Bern</v>
      </c>
      <c r="C66" s="95">
        <f>NP!E66</f>
        <v>20094563.5</v>
      </c>
      <c r="D66" s="95">
        <f>QS!X66</f>
        <v>778211.94808052585</v>
      </c>
      <c r="E66" s="95">
        <f>VERM!J10</f>
        <v>3513428.4053699998</v>
      </c>
      <c r="F66" s="95">
        <f>JP!$H66</f>
        <v>2440183.6706813201</v>
      </c>
      <c r="G66" s="95">
        <f>REP!I66</f>
        <v>45689.112012806479</v>
      </c>
      <c r="H66" s="47">
        <f t="shared" si="4"/>
        <v>26872076.636144653</v>
      </c>
      <c r="I66" s="46"/>
    </row>
    <row r="67" spans="1:9" x14ac:dyDescent="0.25">
      <c r="A67" s="584"/>
      <c r="B67" s="15" t="str">
        <f ca="1">DFIE!$B$34</f>
        <v>Luzern</v>
      </c>
      <c r="C67" s="96">
        <f>NP!E67</f>
        <v>9141916.1009999998</v>
      </c>
      <c r="D67" s="96">
        <f>QS!X67</f>
        <v>357670.67153668613</v>
      </c>
      <c r="E67" s="96">
        <f>VERM!J11</f>
        <v>1708871.8446599999</v>
      </c>
      <c r="F67" s="96">
        <f>JP!$H67</f>
        <v>3020460.2441825997</v>
      </c>
      <c r="G67" s="96">
        <f>REP!I67</f>
        <v>-68663.11663122513</v>
      </c>
      <c r="H67" s="48">
        <f t="shared" si="4"/>
        <v>14160255.744748062</v>
      </c>
      <c r="I67" s="46"/>
    </row>
    <row r="68" spans="1:9" x14ac:dyDescent="0.25">
      <c r="A68" s="584"/>
      <c r="B68" s="16" t="str">
        <f ca="1">DFIE!$B$35</f>
        <v>Uri</v>
      </c>
      <c r="C68" s="95">
        <f>NP!E68</f>
        <v>665643.89899999998</v>
      </c>
      <c r="D68" s="95">
        <f>QS!X68</f>
        <v>37832.531322703289</v>
      </c>
      <c r="E68" s="95">
        <f>VERM!J12</f>
        <v>130474.30310999999</v>
      </c>
      <c r="F68" s="95">
        <f>JP!$H68</f>
        <v>79816.625510400001</v>
      </c>
      <c r="G68" s="95">
        <f>REP!I68</f>
        <v>11959.667226039064</v>
      </c>
      <c r="H68" s="47">
        <f t="shared" si="4"/>
        <v>925727.02616914234</v>
      </c>
      <c r="I68" s="46"/>
    </row>
    <row r="69" spans="1:9" x14ac:dyDescent="0.25">
      <c r="A69" s="584"/>
      <c r="B69" s="15" t="str">
        <f ca="1">DFIE!$B$36</f>
        <v>Schwyz</v>
      </c>
      <c r="C69" s="96">
        <f>NP!E69</f>
        <v>7401975.5389999999</v>
      </c>
      <c r="D69" s="96">
        <f>QS!X69</f>
        <v>170694.24870240371</v>
      </c>
      <c r="E69" s="96">
        <f>VERM!J13</f>
        <v>2274682.0195800001</v>
      </c>
      <c r="F69" s="96">
        <f>JP!$H69</f>
        <v>1107577.1485349999</v>
      </c>
      <c r="G69" s="96">
        <f>REP!I69</f>
        <v>-181096.19430791034</v>
      </c>
      <c r="H69" s="48">
        <f t="shared" si="4"/>
        <v>10773832.761509493</v>
      </c>
      <c r="I69" s="46"/>
    </row>
    <row r="70" spans="1:9" x14ac:dyDescent="0.25">
      <c r="A70" s="584"/>
      <c r="B70" s="16" t="str">
        <f ca="1">DFIE!$B$37</f>
        <v>Obwalden</v>
      </c>
      <c r="C70" s="95">
        <f>NP!E70</f>
        <v>980727.2080000001</v>
      </c>
      <c r="D70" s="95">
        <f>QS!X70</f>
        <v>41479.457828324739</v>
      </c>
      <c r="E70" s="95">
        <f>VERM!J14</f>
        <v>275005.11974999995</v>
      </c>
      <c r="F70" s="95">
        <f>JP!$H70</f>
        <v>147284.287624788</v>
      </c>
      <c r="G70" s="95">
        <f>REP!I70</f>
        <v>26729.873541300185</v>
      </c>
      <c r="H70" s="47">
        <f t="shared" si="4"/>
        <v>1471225.9467444131</v>
      </c>
      <c r="I70" s="46"/>
    </row>
    <row r="71" spans="1:9" x14ac:dyDescent="0.25">
      <c r="A71" s="584"/>
      <c r="B71" s="15" t="str">
        <f ca="1">DFIE!$B$38</f>
        <v>Nidwalden</v>
      </c>
      <c r="C71" s="96">
        <f>NP!E71</f>
        <v>1533620.1700000002</v>
      </c>
      <c r="D71" s="96">
        <f>QS!X71</f>
        <v>45447.928357178163</v>
      </c>
      <c r="E71" s="96">
        <f>VERM!J15</f>
        <v>655656.04293</v>
      </c>
      <c r="F71" s="96">
        <f>JP!$H71</f>
        <v>254499.70612454799</v>
      </c>
      <c r="G71" s="96">
        <f>REP!I71</f>
        <v>-9560.4238504706645</v>
      </c>
      <c r="H71" s="48">
        <f t="shared" si="4"/>
        <v>2479663.4235612554</v>
      </c>
      <c r="I71" s="46"/>
    </row>
    <row r="72" spans="1:9" x14ac:dyDescent="0.25">
      <c r="A72" s="584"/>
      <c r="B72" s="16" t="str">
        <f ca="1">DFIE!$B$39</f>
        <v>Glarus</v>
      </c>
      <c r="C72" s="95">
        <f>NP!E72</f>
        <v>737210.55</v>
      </c>
      <c r="D72" s="95">
        <f>QS!X72</f>
        <v>52672.869413999993</v>
      </c>
      <c r="E72" s="95">
        <f>VERM!J16</f>
        <v>134762.081985</v>
      </c>
      <c r="F72" s="95">
        <f>JP!$H72</f>
        <v>100489.8712008</v>
      </c>
      <c r="G72" s="95">
        <f>REP!I72</f>
        <v>27486.97854873812</v>
      </c>
      <c r="H72" s="47">
        <f t="shared" si="4"/>
        <v>1052622.3511485381</v>
      </c>
      <c r="I72" s="46"/>
    </row>
    <row r="73" spans="1:9" x14ac:dyDescent="0.25">
      <c r="A73" s="584"/>
      <c r="B73" s="15" t="str">
        <f ca="1">DFIE!$B$40</f>
        <v>Zug</v>
      </c>
      <c r="C73" s="96">
        <f>NP!E73</f>
        <v>7473613.2150000008</v>
      </c>
      <c r="D73" s="96">
        <f>QS!X73</f>
        <v>335192.59863742173</v>
      </c>
      <c r="E73" s="96">
        <f>VERM!J17</f>
        <v>1406350.1744849999</v>
      </c>
      <c r="F73" s="96">
        <f>JP!$H73</f>
        <v>4886721.2291593319</v>
      </c>
      <c r="G73" s="96">
        <f>REP!I73</f>
        <v>-33938.618904678457</v>
      </c>
      <c r="H73" s="48">
        <f t="shared" si="4"/>
        <v>14067938.598377077</v>
      </c>
      <c r="I73" s="46"/>
    </row>
    <row r="74" spans="1:9" x14ac:dyDescent="0.25">
      <c r="A74" s="584"/>
      <c r="B74" s="16" t="str">
        <f ca="1">DFIE!$B$41</f>
        <v>Freiburg</v>
      </c>
      <c r="C74" s="95">
        <f>NP!E74</f>
        <v>6362204.3039999995</v>
      </c>
      <c r="D74" s="95">
        <f>QS!X74</f>
        <v>275022.34744298912</v>
      </c>
      <c r="E74" s="95">
        <f>VERM!J18</f>
        <v>562721.74589999998</v>
      </c>
      <c r="F74" s="95">
        <f>JP!$H74</f>
        <v>1396989.835576816</v>
      </c>
      <c r="G74" s="95">
        <f>REP!I74</f>
        <v>-78876.827271860646</v>
      </c>
      <c r="H74" s="47">
        <f t="shared" si="4"/>
        <v>8518061.4056479447</v>
      </c>
      <c r="I74" s="46"/>
    </row>
    <row r="75" spans="1:9" x14ac:dyDescent="0.25">
      <c r="A75" s="584"/>
      <c r="B75" s="15" t="str">
        <f ca="1">DFIE!$B$42</f>
        <v>Solothurn</v>
      </c>
      <c r="C75" s="96">
        <f>NP!E75</f>
        <v>5703183.3329999996</v>
      </c>
      <c r="D75" s="96">
        <f>QS!X75</f>
        <v>227282.94085964499</v>
      </c>
      <c r="E75" s="96">
        <f>VERM!J19</f>
        <v>499254.62361000001</v>
      </c>
      <c r="F75" s="96">
        <f>JP!$H75</f>
        <v>550633.215225928</v>
      </c>
      <c r="G75" s="96">
        <f>REP!I75</f>
        <v>-194472.56711743545</v>
      </c>
      <c r="H75" s="48">
        <f t="shared" si="4"/>
        <v>6785881.545578137</v>
      </c>
      <c r="I75" s="46"/>
    </row>
    <row r="76" spans="1:9" x14ac:dyDescent="0.25">
      <c r="A76" s="584"/>
      <c r="B76" s="16" t="str">
        <f ca="1">DFIE!$B$43</f>
        <v>Basel-Stadt</v>
      </c>
      <c r="C76" s="95">
        <f>NP!E76</f>
        <v>5982423.2680000002</v>
      </c>
      <c r="D76" s="95">
        <f>QS!X76</f>
        <v>847768.71073345956</v>
      </c>
      <c r="E76" s="95">
        <f>VERM!J20</f>
        <v>1046382.7008899999</v>
      </c>
      <c r="F76" s="95">
        <f>JP!$H76</f>
        <v>3726187.5331038041</v>
      </c>
      <c r="G76" s="95">
        <f>REP!I76</f>
        <v>-75782.714344819789</v>
      </c>
      <c r="H76" s="47">
        <f t="shared" si="4"/>
        <v>11526979.498382444</v>
      </c>
      <c r="I76" s="46"/>
    </row>
    <row r="77" spans="1:9" x14ac:dyDescent="0.25">
      <c r="A77" s="584"/>
      <c r="B77" s="15" t="str">
        <f ca="1">DFIE!$B$44</f>
        <v>Basel-Landschaft</v>
      </c>
      <c r="C77" s="96">
        <f>NP!E77</f>
        <v>8189925.2999999989</v>
      </c>
      <c r="D77" s="96">
        <f>QS!X77</f>
        <v>427500.1653178616</v>
      </c>
      <c r="E77" s="96">
        <f>VERM!J21</f>
        <v>760823.82859499997</v>
      </c>
      <c r="F77" s="96">
        <f>JP!$H77</f>
        <v>857411.08920599998</v>
      </c>
      <c r="G77" s="96">
        <f>REP!I77</f>
        <v>-162974.40828751496</v>
      </c>
      <c r="H77" s="48">
        <f t="shared" si="4"/>
        <v>10072685.974831345</v>
      </c>
      <c r="I77" s="46"/>
    </row>
    <row r="78" spans="1:9" x14ac:dyDescent="0.25">
      <c r="A78" s="584"/>
      <c r="B78" s="16" t="str">
        <f ca="1">DFIE!$B$45</f>
        <v>Schaffhausen</v>
      </c>
      <c r="C78" s="95">
        <f>NP!E78</f>
        <v>1738003.6999999997</v>
      </c>
      <c r="D78" s="95">
        <f>QS!X78</f>
        <v>134976.0264303661</v>
      </c>
      <c r="E78" s="95">
        <f>VERM!J22</f>
        <v>249291.74887499999</v>
      </c>
      <c r="F78" s="95">
        <f>JP!$H78</f>
        <v>1284077.6727684001</v>
      </c>
      <c r="G78" s="95">
        <f>REP!I78</f>
        <v>84657.372372243364</v>
      </c>
      <c r="H78" s="47">
        <f t="shared" si="4"/>
        <v>3491006.5204460095</v>
      </c>
      <c r="I78" s="46"/>
    </row>
    <row r="79" spans="1:9" x14ac:dyDescent="0.25">
      <c r="A79" s="584"/>
      <c r="B79" s="15" t="str">
        <f ca="1">DFIE!$B$46</f>
        <v>Appenzell A.Rh.</v>
      </c>
      <c r="C79" s="96">
        <f>NP!E79</f>
        <v>1195055.4850000001</v>
      </c>
      <c r="D79" s="96">
        <f>QS!X79</f>
        <v>33714.649405498887</v>
      </c>
      <c r="E79" s="96">
        <f>VERM!J23</f>
        <v>279447.58173000003</v>
      </c>
      <c r="F79" s="96">
        <f>JP!$H79</f>
        <v>245308.06573200002</v>
      </c>
      <c r="G79" s="96">
        <f>REP!I79</f>
        <v>1524.1527007848185</v>
      </c>
      <c r="H79" s="48">
        <f t="shared" si="4"/>
        <v>1755049.9345682838</v>
      </c>
      <c r="I79" s="46"/>
    </row>
    <row r="80" spans="1:9" x14ac:dyDescent="0.25">
      <c r="A80" s="584"/>
      <c r="B80" s="16" t="str">
        <f ca="1">DFIE!$B$47</f>
        <v>Appenzell I.Rh.</v>
      </c>
      <c r="C80" s="95">
        <f>NP!E80</f>
        <v>413714.57299999997</v>
      </c>
      <c r="D80" s="95">
        <f>QS!X80</f>
        <v>10711.887503276914</v>
      </c>
      <c r="E80" s="95">
        <f>VERM!J24</f>
        <v>119421.70534499999</v>
      </c>
      <c r="F80" s="95">
        <f>JP!$H80</f>
        <v>58406.027934400001</v>
      </c>
      <c r="G80" s="95">
        <f>REP!I80</f>
        <v>5236.6372386854673</v>
      </c>
      <c r="H80" s="47">
        <f t="shared" si="4"/>
        <v>607490.83102136245</v>
      </c>
      <c r="I80" s="46"/>
    </row>
    <row r="81" spans="1:9" x14ac:dyDescent="0.25">
      <c r="A81" s="584"/>
      <c r="B81" s="15" t="str">
        <f ca="1">DFIE!$B$48</f>
        <v>St. Gallen</v>
      </c>
      <c r="C81" s="96">
        <f>NP!E81</f>
        <v>9970391.1000000015</v>
      </c>
      <c r="D81" s="96">
        <f>QS!X81</f>
        <v>597394.90730198112</v>
      </c>
      <c r="E81" s="96">
        <f>VERM!J25</f>
        <v>2077815.5105249998</v>
      </c>
      <c r="F81" s="96">
        <f>JP!$H81</f>
        <v>1868060.038843788</v>
      </c>
      <c r="G81" s="96">
        <f>REP!I81</f>
        <v>30931.35358598188</v>
      </c>
      <c r="H81" s="48">
        <f t="shared" si="4"/>
        <v>14544592.910256753</v>
      </c>
      <c r="I81" s="46"/>
    </row>
    <row r="82" spans="1:9" x14ac:dyDescent="0.25">
      <c r="A82" s="584"/>
      <c r="B82" s="16" t="str">
        <f ca="1">DFIE!$B$49</f>
        <v>Graubünden</v>
      </c>
      <c r="C82" s="95">
        <f>NP!E82</f>
        <v>4415261.2410000004</v>
      </c>
      <c r="D82" s="95">
        <f>QS!X82</f>
        <v>506918.18582495069</v>
      </c>
      <c r="E82" s="95">
        <f>VERM!J26</f>
        <v>1290332.1024450001</v>
      </c>
      <c r="F82" s="95">
        <f>JP!$H82</f>
        <v>527170.64358719997</v>
      </c>
      <c r="G82" s="95">
        <f>REP!I82</f>
        <v>354926.30602157552</v>
      </c>
      <c r="H82" s="47">
        <f t="shared" si="4"/>
        <v>7094608.4788787272</v>
      </c>
      <c r="I82" s="46"/>
    </row>
    <row r="83" spans="1:9" x14ac:dyDescent="0.25">
      <c r="A83" s="584"/>
      <c r="B83" s="15" t="str">
        <f ca="1">DFIE!$B$50</f>
        <v>Aargau</v>
      </c>
      <c r="C83" s="96">
        <f>NP!E83</f>
        <v>15367591.899999999</v>
      </c>
      <c r="D83" s="96">
        <f>QS!X83</f>
        <v>868224.82465516613</v>
      </c>
      <c r="E83" s="96">
        <f>VERM!J27</f>
        <v>2135117.94771</v>
      </c>
      <c r="F83" s="96">
        <f>JP!$H83</f>
        <v>1482117.5993015943</v>
      </c>
      <c r="G83" s="96">
        <f>REP!I83</f>
        <v>-3201.7884930912114</v>
      </c>
      <c r="H83" s="48">
        <f t="shared" si="4"/>
        <v>19849850.483173672</v>
      </c>
      <c r="I83" s="46"/>
    </row>
    <row r="84" spans="1:9" x14ac:dyDescent="0.25">
      <c r="A84" s="584"/>
      <c r="B84" s="16" t="str">
        <f ca="1">DFIE!$B$51</f>
        <v>Thurgau</v>
      </c>
      <c r="C84" s="95">
        <f>NP!E84</f>
        <v>5555837.074</v>
      </c>
      <c r="D84" s="95">
        <f>QS!X84</f>
        <v>369246.36731986346</v>
      </c>
      <c r="E84" s="95">
        <f>VERM!J28</f>
        <v>1077558.2189999998</v>
      </c>
      <c r="F84" s="95">
        <f>JP!$H84</f>
        <v>768644.2069052119</v>
      </c>
      <c r="G84" s="95">
        <f>REP!I84</f>
        <v>41261.792040173801</v>
      </c>
      <c r="H84" s="47">
        <f t="shared" si="4"/>
        <v>7812547.659265249</v>
      </c>
      <c r="I84" s="46"/>
    </row>
    <row r="85" spans="1:9" x14ac:dyDescent="0.25">
      <c r="A85" s="584"/>
      <c r="B85" s="15" t="str">
        <f ca="1">DFIE!$B$52</f>
        <v>Tessin</v>
      </c>
      <c r="C85" s="96">
        <f>NP!E85</f>
        <v>7614827.8999999994</v>
      </c>
      <c r="D85" s="96">
        <f>QS!X85</f>
        <v>1270032.4664244</v>
      </c>
      <c r="E85" s="96">
        <f>VERM!J29</f>
        <v>1321273.5449999999</v>
      </c>
      <c r="F85" s="96">
        <f>JP!$H85</f>
        <v>1208043.0843272679</v>
      </c>
      <c r="G85" s="96">
        <f>REP!I85</f>
        <v>228919.50531052722</v>
      </c>
      <c r="H85" s="48">
        <f t="shared" si="4"/>
        <v>11643096.501062196</v>
      </c>
      <c r="I85" s="46"/>
    </row>
    <row r="86" spans="1:9" x14ac:dyDescent="0.25">
      <c r="A86" s="584"/>
      <c r="B86" s="16" t="str">
        <f ca="1">DFIE!$B$53</f>
        <v>Waadt</v>
      </c>
      <c r="C86" s="95">
        <f>NP!E86</f>
        <v>20814742.700000003</v>
      </c>
      <c r="D86" s="95">
        <f>QS!X86</f>
        <v>1332292.6625234485</v>
      </c>
      <c r="E86" s="95">
        <f>VERM!J30</f>
        <v>2599210.4172749999</v>
      </c>
      <c r="F86" s="95">
        <f>JP!$H86</f>
        <v>5017051.6282968801</v>
      </c>
      <c r="G86" s="95">
        <f>REP!I86</f>
        <v>-536405.57538193965</v>
      </c>
      <c r="H86" s="47">
        <f t="shared" si="4"/>
        <v>29226891.832713392</v>
      </c>
      <c r="I86" s="46"/>
    </row>
    <row r="87" spans="1:9" x14ac:dyDescent="0.25">
      <c r="A87" s="584"/>
      <c r="B87" s="15" t="str">
        <f ca="1">DFIE!$B$54</f>
        <v>Wallis</v>
      </c>
      <c r="C87" s="96">
        <f>NP!E87</f>
        <v>6579829.1000000006</v>
      </c>
      <c r="D87" s="96">
        <f>QS!X87</f>
        <v>514530.63459685975</v>
      </c>
      <c r="E87" s="96">
        <f>VERM!J31</f>
        <v>1024954.3605300001</v>
      </c>
      <c r="F87" s="96">
        <f>JP!$H87</f>
        <v>659141.85975359997</v>
      </c>
      <c r="G87" s="96">
        <f>REP!I87</f>
        <v>320602.62223692308</v>
      </c>
      <c r="H87" s="48">
        <f t="shared" si="4"/>
        <v>9099058.5771173835</v>
      </c>
      <c r="I87" s="46"/>
    </row>
    <row r="88" spans="1:9" x14ac:dyDescent="0.25">
      <c r="A88" s="584"/>
      <c r="B88" s="16" t="str">
        <f ca="1">DFIE!$B$55</f>
        <v>Neuenburg</v>
      </c>
      <c r="C88" s="95">
        <f>NP!E88</f>
        <v>3232521</v>
      </c>
      <c r="D88" s="95">
        <f>QS!X88</f>
        <v>252020.70064418326</v>
      </c>
      <c r="E88" s="95">
        <f>VERM!J32</f>
        <v>321513.03539999999</v>
      </c>
      <c r="F88" s="95">
        <f>JP!$H88</f>
        <v>820273.34152780008</v>
      </c>
      <c r="G88" s="95">
        <f>REP!I88</f>
        <v>777223.73776060075</v>
      </c>
      <c r="H88" s="47">
        <f t="shared" si="4"/>
        <v>5403551.8153325841</v>
      </c>
      <c r="I88" s="46"/>
    </row>
    <row r="89" spans="1:9" x14ac:dyDescent="0.25">
      <c r="A89" s="584"/>
      <c r="B89" s="15" t="str">
        <f ca="1">DFIE!$B$56</f>
        <v>Genf</v>
      </c>
      <c r="C89" s="96">
        <f>NP!E89</f>
        <v>16224245.199999999</v>
      </c>
      <c r="D89" s="96">
        <f>QS!X89</f>
        <v>2917734.4726772108</v>
      </c>
      <c r="E89" s="96">
        <f>VERM!J33</f>
        <v>2929699.3756499998</v>
      </c>
      <c r="F89" s="96">
        <f>JP!$H89</f>
        <v>9796747.3329720609</v>
      </c>
      <c r="G89" s="96">
        <f>REP!I89</f>
        <v>-15981.268013273511</v>
      </c>
      <c r="H89" s="48">
        <f t="shared" si="4"/>
        <v>31852445.113286</v>
      </c>
      <c r="I89" s="46"/>
    </row>
    <row r="90" spans="1:9" x14ac:dyDescent="0.25">
      <c r="A90" s="584"/>
      <c r="B90" s="16" t="str">
        <f ca="1">DFIE!$B$57</f>
        <v>Jura</v>
      </c>
      <c r="C90" s="95">
        <f>NP!E90</f>
        <v>1163268.6000000001</v>
      </c>
      <c r="D90" s="95">
        <f>QS!X90</f>
        <v>125280.07608554981</v>
      </c>
      <c r="E90" s="95">
        <f>VERM!J34</f>
        <v>127956.98999999999</v>
      </c>
      <c r="F90" s="95">
        <f>JP!$H90</f>
        <v>281577.02906080004</v>
      </c>
      <c r="G90" s="95">
        <f>REP!I90</f>
        <v>29450.403851495579</v>
      </c>
      <c r="H90" s="47">
        <f t="shared" si="4"/>
        <v>1727533.0989978455</v>
      </c>
      <c r="I90" s="46"/>
    </row>
    <row r="91" spans="1:9" x14ac:dyDescent="0.25">
      <c r="A91" s="584"/>
      <c r="B91" s="14" t="str">
        <f ca="1">DFIE!$B$58</f>
        <v>Schweiz</v>
      </c>
      <c r="C91" s="55">
        <f t="shared" ref="C91:H91" si="5">SUM(C65:C90)</f>
        <v>216880549.46000004</v>
      </c>
      <c r="D91" s="55">
        <f t="shared" si="5"/>
        <v>14645539.40218238</v>
      </c>
      <c r="E91" s="55">
        <f t="shared" si="5"/>
        <v>36077072.050350003</v>
      </c>
      <c r="F91" s="55">
        <f t="shared" si="5"/>
        <v>50689610.949062236</v>
      </c>
      <c r="G91" s="55">
        <f>ROUND(SUM(G65:G90),6)</f>
        <v>0</v>
      </c>
      <c r="H91" s="49">
        <f t="shared" si="5"/>
        <v>318292771.86159456</v>
      </c>
      <c r="I91" s="46"/>
    </row>
  </sheetData>
  <mergeCells count="3">
    <mergeCell ref="A9:A35"/>
    <mergeCell ref="A37:A63"/>
    <mergeCell ref="A65:A91"/>
  </mergeCells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F35"/>
  <sheetViews>
    <sheetView showGridLines="0" zoomScaleNormal="10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6" width="18.6640625" customWidth="1"/>
  </cols>
  <sheetData>
    <row r="1" spans="1:6" ht="22.5" customHeight="1" x14ac:dyDescent="0.3">
      <c r="B1" s="117" t="str">
        <f ca="1">DFIE!$B$182</f>
        <v>Massgebende Wohnbevölkerung 2026</v>
      </c>
      <c r="C1" s="197"/>
      <c r="D1" s="197"/>
      <c r="E1" s="205"/>
      <c r="F1" s="199"/>
    </row>
    <row r="2" spans="1:6" ht="12.75" customHeight="1" x14ac:dyDescent="0.25">
      <c r="A2" s="206"/>
      <c r="C2" s="206"/>
      <c r="D2" s="206"/>
      <c r="E2" s="207"/>
      <c r="F2" s="208"/>
    </row>
    <row r="3" spans="1:6" ht="0.75" customHeight="1" x14ac:dyDescent="0.25">
      <c r="A3" s="198"/>
      <c r="C3" s="197"/>
      <c r="D3" s="197"/>
      <c r="E3" s="205"/>
      <c r="F3" s="199"/>
    </row>
    <row r="4" spans="1:6" ht="12" customHeight="1" x14ac:dyDescent="0.25">
      <c r="A4" s="192"/>
      <c r="B4" s="67" t="str">
        <f ca="1">DFIE!$B$59</f>
        <v>Spalte</v>
      </c>
      <c r="C4" s="68" t="s">
        <v>30</v>
      </c>
      <c r="D4" s="68" t="s">
        <v>31</v>
      </c>
      <c r="E4" s="68" t="s">
        <v>32</v>
      </c>
      <c r="F4" s="69" t="s">
        <v>43</v>
      </c>
    </row>
    <row r="5" spans="1:6" ht="12" customHeight="1" x14ac:dyDescent="0.25">
      <c r="A5" s="204"/>
      <c r="B5" s="67" t="str">
        <f ca="1">DFIE!$B$60</f>
        <v>Formel</v>
      </c>
      <c r="C5" s="193"/>
      <c r="D5" s="193"/>
      <c r="E5" s="193"/>
      <c r="F5" s="194" t="s">
        <v>60</v>
      </c>
    </row>
    <row r="6" spans="1:6" ht="42" customHeight="1" x14ac:dyDescent="0.25">
      <c r="B6" s="200"/>
      <c r="C6" s="620" t="str">
        <f ca="1">DFIE!$B$183</f>
        <v>Mittlere ständige und nichtständige Wohnbevölkerung</v>
      </c>
      <c r="D6" s="620"/>
      <c r="E6" s="620"/>
      <c r="F6" s="196" t="str">
        <f ca="1">DFIE!$B$184</f>
        <v>Massgebende
Wohnbevölkerung</v>
      </c>
    </row>
    <row r="7" spans="1:6" ht="16.5" customHeight="1" x14ac:dyDescent="0.25">
      <c r="B7" s="201"/>
      <c r="C7" s="203">
        <f>DFIE!$G$3-6</f>
        <v>2020</v>
      </c>
      <c r="D7" s="203">
        <f>DFIE!$G$3-5</f>
        <v>2021</v>
      </c>
      <c r="E7" s="203">
        <f>DFIE!$G$3-4</f>
        <v>2022</v>
      </c>
      <c r="F7" s="202">
        <f>DFIE!$G$3</f>
        <v>2026</v>
      </c>
    </row>
    <row r="8" spans="1:6" ht="12.75" customHeight="1" x14ac:dyDescent="0.25">
      <c r="A8" s="204"/>
      <c r="B8" s="67" t="str">
        <f ca="1">DFIE!$B$62</f>
        <v>Einheit</v>
      </c>
      <c r="C8" s="35" t="str">
        <f ca="1">DFIE!$B$65</f>
        <v>Anzahl</v>
      </c>
      <c r="D8" s="35" t="str">
        <f ca="1">DFIE!$B$65</f>
        <v>Anzahl</v>
      </c>
      <c r="E8" s="35" t="str">
        <f ca="1">DFIE!$B$65</f>
        <v>Anzahl</v>
      </c>
      <c r="F8" s="195" t="str">
        <f ca="1">DFIE!$B$65</f>
        <v>Anzahl</v>
      </c>
    </row>
    <row r="9" spans="1:6" x14ac:dyDescent="0.25">
      <c r="B9" s="31" t="str">
        <f ca="1">DFIE!$B$32</f>
        <v>Zürich</v>
      </c>
      <c r="C9" s="51">
        <v>1555566</v>
      </c>
      <c r="D9" s="51">
        <v>1566553</v>
      </c>
      <c r="E9" s="51">
        <v>1586733.5</v>
      </c>
      <c r="F9" s="52">
        <f>AVERAGE(C9:E9)</f>
        <v>1569617.5</v>
      </c>
    </row>
    <row r="10" spans="1:6" x14ac:dyDescent="0.25">
      <c r="B10" s="16" t="str">
        <f ca="1">DFIE!$B$33</f>
        <v>Bern</v>
      </c>
      <c r="C10" s="53">
        <v>1046845</v>
      </c>
      <c r="D10" s="53">
        <v>1050594.5</v>
      </c>
      <c r="E10" s="53">
        <v>1059755</v>
      </c>
      <c r="F10" s="47">
        <f t="shared" ref="F10:F34" si="0">AVERAGE(C10:E10)</f>
        <v>1052398.1666666667</v>
      </c>
    </row>
    <row r="11" spans="1:6" x14ac:dyDescent="0.25">
      <c r="B11" s="15" t="str">
        <f ca="1">DFIE!$B$34</f>
        <v>Luzern</v>
      </c>
      <c r="C11" s="54">
        <v>417299.5</v>
      </c>
      <c r="D11" s="54">
        <v>420688.5</v>
      </c>
      <c r="E11" s="54">
        <v>426903.5</v>
      </c>
      <c r="F11" s="48">
        <f t="shared" si="0"/>
        <v>421630.5</v>
      </c>
    </row>
    <row r="12" spans="1:6" x14ac:dyDescent="0.25">
      <c r="B12" s="16" t="str">
        <f ca="1">DFIE!$B$35</f>
        <v>Uri</v>
      </c>
      <c r="C12" s="53">
        <v>37051.5</v>
      </c>
      <c r="D12" s="53">
        <v>37179</v>
      </c>
      <c r="E12" s="53">
        <v>37603.5</v>
      </c>
      <c r="F12" s="47">
        <f t="shared" si="0"/>
        <v>37278</v>
      </c>
    </row>
    <row r="13" spans="1:6" x14ac:dyDescent="0.25">
      <c r="B13" s="15" t="str">
        <f ca="1">DFIE!$B$36</f>
        <v>Schwyz</v>
      </c>
      <c r="C13" s="54">
        <v>161983.5</v>
      </c>
      <c r="D13" s="54">
        <v>163581</v>
      </c>
      <c r="E13" s="54">
        <v>165645</v>
      </c>
      <c r="F13" s="48">
        <f t="shared" si="0"/>
        <v>163736.5</v>
      </c>
    </row>
    <row r="14" spans="1:6" x14ac:dyDescent="0.25">
      <c r="B14" s="16" t="str">
        <f ca="1">DFIE!$B$37</f>
        <v>Obwalden</v>
      </c>
      <c r="C14" s="53">
        <v>38308</v>
      </c>
      <c r="D14" s="53">
        <v>38579</v>
      </c>
      <c r="E14" s="53">
        <v>39165.5</v>
      </c>
      <c r="F14" s="47">
        <f t="shared" si="0"/>
        <v>38684.166666666664</v>
      </c>
    </row>
    <row r="15" spans="1:6" x14ac:dyDescent="0.25">
      <c r="B15" s="15" t="str">
        <f ca="1">DFIE!$B$38</f>
        <v>Nidwalden</v>
      </c>
      <c r="C15" s="54">
        <v>43489.5</v>
      </c>
      <c r="D15" s="54">
        <v>43894.5</v>
      </c>
      <c r="E15" s="54">
        <v>44512</v>
      </c>
      <c r="F15" s="48">
        <f t="shared" si="0"/>
        <v>43965.333333333336</v>
      </c>
    </row>
    <row r="16" spans="1:6" x14ac:dyDescent="0.25">
      <c r="B16" s="16" t="str">
        <f ca="1">DFIE!$B$39</f>
        <v>Glarus</v>
      </c>
      <c r="C16" s="53">
        <v>41021.5</v>
      </c>
      <c r="D16" s="53">
        <v>41328.5</v>
      </c>
      <c r="E16" s="53">
        <v>41884</v>
      </c>
      <c r="F16" s="47">
        <f t="shared" si="0"/>
        <v>41411.333333333336</v>
      </c>
    </row>
    <row r="17" spans="2:6" x14ac:dyDescent="0.25">
      <c r="B17" s="15" t="str">
        <f ca="1">DFIE!$B$40</f>
        <v>Zug</v>
      </c>
      <c r="C17" s="54">
        <v>129806</v>
      </c>
      <c r="D17" s="54">
        <v>130556</v>
      </c>
      <c r="E17" s="54">
        <v>132192</v>
      </c>
      <c r="F17" s="48">
        <f t="shared" si="0"/>
        <v>130851.33333333333</v>
      </c>
    </row>
    <row r="18" spans="2:6" x14ac:dyDescent="0.25">
      <c r="B18" s="16" t="str">
        <f ca="1">DFIE!$B$41</f>
        <v>Freiburg</v>
      </c>
      <c r="C18" s="53">
        <v>325222.5</v>
      </c>
      <c r="D18" s="53">
        <v>329211.5</v>
      </c>
      <c r="E18" s="53">
        <v>335215</v>
      </c>
      <c r="F18" s="47">
        <f t="shared" si="0"/>
        <v>329883</v>
      </c>
    </row>
    <row r="19" spans="2:6" x14ac:dyDescent="0.25">
      <c r="B19" s="15" t="str">
        <f ca="1">DFIE!$B$42</f>
        <v>Solothurn</v>
      </c>
      <c r="C19" s="54">
        <v>278219.5</v>
      </c>
      <c r="D19" s="54">
        <v>280672</v>
      </c>
      <c r="E19" s="54">
        <v>284403.5</v>
      </c>
      <c r="F19" s="48">
        <f t="shared" si="0"/>
        <v>281098.33333333331</v>
      </c>
    </row>
    <row r="20" spans="2:6" x14ac:dyDescent="0.25">
      <c r="B20" s="16" t="str">
        <f ca="1">DFIE!$B$43</f>
        <v>Basel-Stadt</v>
      </c>
      <c r="C20" s="53">
        <v>199093.5</v>
      </c>
      <c r="D20" s="53">
        <v>198696.5</v>
      </c>
      <c r="E20" s="53">
        <v>200079.5</v>
      </c>
      <c r="F20" s="47">
        <f t="shared" si="0"/>
        <v>199289.83333333334</v>
      </c>
    </row>
    <row r="21" spans="2:6" x14ac:dyDescent="0.25">
      <c r="B21" s="15" t="str">
        <f ca="1">DFIE!$B$44</f>
        <v>Basel-Landschaft</v>
      </c>
      <c r="C21" s="54">
        <v>291766.5</v>
      </c>
      <c r="D21" s="54">
        <v>293500</v>
      </c>
      <c r="E21" s="54">
        <v>296763.5</v>
      </c>
      <c r="F21" s="48">
        <f t="shared" si="0"/>
        <v>294010</v>
      </c>
    </row>
    <row r="22" spans="2:6" x14ac:dyDescent="0.25">
      <c r="B22" s="16" t="str">
        <f ca="1">DFIE!$B$45</f>
        <v>Schaffhausen</v>
      </c>
      <c r="C22" s="53">
        <v>83373.5</v>
      </c>
      <c r="D22" s="53">
        <v>84176</v>
      </c>
      <c r="E22" s="53">
        <v>85611</v>
      </c>
      <c r="F22" s="47">
        <f t="shared" si="0"/>
        <v>84386.833333333328</v>
      </c>
    </row>
    <row r="23" spans="2:6" x14ac:dyDescent="0.25">
      <c r="B23" s="15" t="str">
        <f ca="1">DFIE!$B$46</f>
        <v>Appenzell A.Rh.</v>
      </c>
      <c r="C23" s="54">
        <v>55461</v>
      </c>
      <c r="D23" s="54">
        <v>55549</v>
      </c>
      <c r="E23" s="54">
        <v>56069</v>
      </c>
      <c r="F23" s="48">
        <f t="shared" si="0"/>
        <v>55693</v>
      </c>
    </row>
    <row r="24" spans="2:6" x14ac:dyDescent="0.25">
      <c r="B24" s="16" t="str">
        <f ca="1">DFIE!$B$47</f>
        <v>Appenzell I.Rh.</v>
      </c>
      <c r="C24" s="53">
        <v>16268.5</v>
      </c>
      <c r="D24" s="53">
        <v>16369</v>
      </c>
      <c r="E24" s="53">
        <v>16496.5</v>
      </c>
      <c r="F24" s="47">
        <f t="shared" si="0"/>
        <v>16378</v>
      </c>
    </row>
    <row r="25" spans="2:6" x14ac:dyDescent="0.25">
      <c r="B25" s="15" t="str">
        <f ca="1">DFIE!$B$48</f>
        <v>St. Gallen</v>
      </c>
      <c r="C25" s="54">
        <v>515102</v>
      </c>
      <c r="D25" s="54">
        <v>519094</v>
      </c>
      <c r="E25" s="54">
        <v>526853.5</v>
      </c>
      <c r="F25" s="48">
        <f t="shared" si="0"/>
        <v>520349.83333333331</v>
      </c>
    </row>
    <row r="26" spans="2:6" x14ac:dyDescent="0.25">
      <c r="B26" s="16" t="str">
        <f ca="1">DFIE!$B$49</f>
        <v>Graubünden</v>
      </c>
      <c r="C26" s="53">
        <v>206074.5</v>
      </c>
      <c r="D26" s="53">
        <v>207084</v>
      </c>
      <c r="E26" s="53">
        <v>210037</v>
      </c>
      <c r="F26" s="47">
        <f t="shared" si="0"/>
        <v>207731.83333333334</v>
      </c>
    </row>
    <row r="27" spans="2:6" x14ac:dyDescent="0.25">
      <c r="B27" s="15" t="str">
        <f ca="1">DFIE!$B$50</f>
        <v>Aargau</v>
      </c>
      <c r="C27" s="54">
        <v>694424</v>
      </c>
      <c r="D27" s="54">
        <v>702964.5</v>
      </c>
      <c r="E27" s="54">
        <v>714792</v>
      </c>
      <c r="F27" s="48">
        <f t="shared" si="0"/>
        <v>704060.16666666663</v>
      </c>
    </row>
    <row r="28" spans="2:6" x14ac:dyDescent="0.25">
      <c r="B28" s="16" t="str">
        <f ca="1">DFIE!$B$51</f>
        <v>Thurgau</v>
      </c>
      <c r="C28" s="53">
        <v>282986</v>
      </c>
      <c r="D28" s="53">
        <v>286155.5</v>
      </c>
      <c r="E28" s="53">
        <v>290791.5</v>
      </c>
      <c r="F28" s="47">
        <f t="shared" si="0"/>
        <v>286644.33333333331</v>
      </c>
    </row>
    <row r="29" spans="2:6" x14ac:dyDescent="0.25">
      <c r="B29" s="15" t="str">
        <f ca="1">DFIE!$B$52</f>
        <v>Tessin</v>
      </c>
      <c r="C29" s="54">
        <v>353714.5</v>
      </c>
      <c r="D29" s="54">
        <v>353941.5</v>
      </c>
      <c r="E29" s="54">
        <v>357216.5</v>
      </c>
      <c r="F29" s="48">
        <f t="shared" si="0"/>
        <v>354957.5</v>
      </c>
    </row>
    <row r="30" spans="2:6" x14ac:dyDescent="0.25">
      <c r="B30" s="16" t="str">
        <f ca="1">DFIE!$B$53</f>
        <v>Waadt</v>
      </c>
      <c r="C30" s="53">
        <v>818360</v>
      </c>
      <c r="D30" s="53">
        <v>826511</v>
      </c>
      <c r="E30" s="53">
        <v>839508.5</v>
      </c>
      <c r="F30" s="47">
        <f t="shared" si="0"/>
        <v>828126.5</v>
      </c>
    </row>
    <row r="31" spans="2:6" x14ac:dyDescent="0.25">
      <c r="B31" s="15" t="str">
        <f ca="1">DFIE!$B$54</f>
        <v>Wallis</v>
      </c>
      <c r="C31" s="54">
        <v>354866.5</v>
      </c>
      <c r="D31" s="54">
        <v>358593.5</v>
      </c>
      <c r="E31" s="54">
        <v>365872</v>
      </c>
      <c r="F31" s="48">
        <f t="shared" si="0"/>
        <v>359777.33333333331</v>
      </c>
    </row>
    <row r="32" spans="2:6" x14ac:dyDescent="0.25">
      <c r="B32" s="16" t="str">
        <f ca="1">DFIE!$B$55</f>
        <v>Neuenburg</v>
      </c>
      <c r="C32" s="53">
        <v>177454</v>
      </c>
      <c r="D32" s="53">
        <v>177339.5</v>
      </c>
      <c r="E32" s="53">
        <v>178583.5</v>
      </c>
      <c r="F32" s="47">
        <f t="shared" si="0"/>
        <v>177792.33333333334</v>
      </c>
    </row>
    <row r="33" spans="1:6" x14ac:dyDescent="0.25">
      <c r="B33" s="15" t="str">
        <f ca="1">DFIE!$B$56</f>
        <v>Genf</v>
      </c>
      <c r="C33" s="54">
        <v>508270</v>
      </c>
      <c r="D33" s="54">
        <v>510823.5</v>
      </c>
      <c r="E33" s="54">
        <v>517230</v>
      </c>
      <c r="F33" s="48">
        <f t="shared" si="0"/>
        <v>512107.83333333331</v>
      </c>
    </row>
    <row r="34" spans="1:6" x14ac:dyDescent="0.25">
      <c r="B34" s="16" t="str">
        <f ca="1">DFIE!$B$57</f>
        <v>Jura</v>
      </c>
      <c r="C34" s="53">
        <v>73845</v>
      </c>
      <c r="D34" s="53">
        <v>73953.5</v>
      </c>
      <c r="E34" s="53">
        <v>74365</v>
      </c>
      <c r="F34" s="47">
        <f t="shared" si="0"/>
        <v>74054.5</v>
      </c>
    </row>
    <row r="35" spans="1:6" x14ac:dyDescent="0.25">
      <c r="A35" s="40"/>
      <c r="B35" s="14" t="str">
        <f ca="1">DFIE!$B$58</f>
        <v>Schweiz</v>
      </c>
      <c r="C35" s="55">
        <f>SUM(C9:C34)</f>
        <v>8705872</v>
      </c>
      <c r="D35" s="55">
        <f>SUM(D9:D34)</f>
        <v>8767588.5</v>
      </c>
      <c r="E35" s="55">
        <f>SUM(E9:E34)</f>
        <v>8884281.5</v>
      </c>
      <c r="F35" s="49">
        <f>SUM(F9:F34)</f>
        <v>8785914</v>
      </c>
    </row>
  </sheetData>
  <mergeCells count="1">
    <mergeCell ref="C6:E6"/>
  </mergeCells>
  <conditionalFormatting sqref="C9:E34">
    <cfRule type="expression" dxfId="15" priority="1" stopIfTrue="1">
      <formula>ISBLANK(C9)</formula>
    </cfRule>
  </conditionalFormatting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21</vt:i4>
      </vt:variant>
    </vt:vector>
  </HeadingPairs>
  <TitlesOfParts>
    <vt:vector size="38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ALPHA</vt:lpstr>
      <vt:lpstr>ZETA</vt:lpstr>
      <vt:lpstr>ALPHA!Druckbereich</vt:lpstr>
      <vt:lpstr>ASG!Druckbereich</vt:lpstr>
      <vt:lpstr>AUSZ!Druckbereich</vt:lpstr>
      <vt:lpstr>BEV!Druckbereich</vt:lpstr>
      <vt:lpstr>DOT!Druckbereich</vt:lpstr>
      <vt:lpstr>EINZ!Druckbereich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ZETA!Druckbereich</vt:lpstr>
      <vt:lpstr>ASG!Drucktitel</vt:lpstr>
      <vt:lpstr>JP!Drucktitel</vt:lpstr>
      <vt:lpstr>NP!Drucktitel</vt:lpstr>
      <vt:lpstr>QS!Drucktitel</vt:lpstr>
      <vt:lpstr>REP!Drucktitel</vt:lpstr>
      <vt:lpstr>ZETA!Print_Area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Witschard Jean-Pierre EFV</dc:creator>
  <cp:lastModifiedBy>Witschard Jean-Pierre EFV</cp:lastModifiedBy>
  <cp:lastPrinted>2024-09-09T13:08:43Z</cp:lastPrinted>
  <dcterms:created xsi:type="dcterms:W3CDTF">2010-11-03T16:06:04Z</dcterms:created>
  <dcterms:modified xsi:type="dcterms:W3CDTF">2025-11-19T08:11:46Z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2025-09-02T09:02:50Z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8b29aeaf-6b1d-4bd5-a13e-aef4cc8657c5</vt:lpwstr>
  </property>
  <property fmtid="{D5CDD505-2E9C-101B-9397-08002B2CF9AE}" pid="8" name="MSIP_Label_aa112399-b73b-40c1-8af2-919b124b9d91_ContentBits">
    <vt:lpwstr>0</vt:lpwstr>
  </property>
  <property fmtid="{D5CDD505-2E9C-101B-9397-08002B2CF9AE}" pid="9" name="Label">
    <vt:lpwstr>Internal</vt:lpwstr>
  </property>
</Properties>
</file>