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D11"/>
  <c r="B11"/>
  <c r="A2" i="2"/>
  <c r="A2" i="3" s="1"/>
  <c r="E13" i="4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S38"/>
  <c r="Q38"/>
  <c r="S30"/>
  <c r="Q30"/>
  <c r="S22"/>
  <c r="Q22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S34"/>
  <c r="Q34"/>
  <c r="S26"/>
  <c r="Q26"/>
  <c r="S18"/>
  <c r="Q18"/>
  <c r="Q33"/>
  <c r="S33" s="1"/>
  <c r="Q25"/>
  <c r="S25" s="1"/>
  <c r="Q17"/>
  <c r="S17" s="1"/>
  <c r="S36"/>
  <c r="Q36"/>
  <c r="S28"/>
  <c r="Q28"/>
  <c r="S20"/>
  <c r="Q20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<sst xmlns="http://schemas.openxmlformats.org/spreadsheetml/2006/main" count="212" uniqueCount="102">
  <si>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</si>
  <si>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</si>
  <si>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</si>
  <si>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</si>
  <si>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</si>
  <si>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</si>
  <si>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</si>
  <si>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FA_2015_20140616</t>
  </si>
  <si>
    <t>SWS</t>
  </si>
  <si>
    <t>RA_2015_20140616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</si>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</sst>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6" fillId="0" borderId="15" xfId="0" applyNumberFormat="1" applyFont="1" applyFill="1" applyBorder="1" applyAlignment="1" applyProtection="1">
      <alignment horizontal="right"/>
      <protection locked="0"/>
    </xf>
    <xf numFmtId="166" fontId="6" fillId="0" borderId="16" xfId="0" applyNumberFormat="1" applyFont="1" applyFill="1" applyBorder="1" applyAlignment="1" applyProtection="1">
      <alignment horizontal="right"/>
      <protection locked="0"/>
    </xf>
    <xf numFmtId="166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6" fillId="2" borderId="0" xfId="0" applyNumberFormat="1" applyFont="1" applyFill="1" applyBorder="1" applyAlignment="1" applyProtection="1">
      <alignment horizontal="right"/>
      <protection locked="0"/>
    </xf>
    <xf numFmtId="166" fontId="6" fillId="2" borderId="13" xfId="0" applyNumberFormat="1" applyFont="1" applyFill="1" applyBorder="1" applyAlignment="1" applyProtection="1">
      <alignment horizontal="right"/>
      <protection locked="0"/>
    </xf>
    <xf numFmtId="166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13" xfId="0" applyNumberFormat="1" applyFont="1" applyFill="1" applyBorder="1" applyAlignment="1" applyProtection="1">
      <alignment horizontal="right"/>
      <protection locked="0"/>
    </xf>
    <xf numFmtId="166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6" fillId="2" borderId="8" xfId="0" applyNumberFormat="1" applyFont="1" applyFill="1" applyBorder="1" applyAlignment="1" applyProtection="1">
      <alignment horizontal="right"/>
      <protection locked="0"/>
    </xf>
    <xf numFmtId="166" fontId="6" fillId="2" borderId="21" xfId="0" applyNumberFormat="1" applyFont="1" applyFill="1" applyBorder="1" applyAlignment="1" applyProtection="1">
      <alignment horizontal="right"/>
      <protection locked="0"/>
    </xf>
    <xf numFmtId="166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7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8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7" fontId="13" fillId="0" borderId="9" xfId="0" applyNumberFormat="1" applyFont="1" applyFill="1" applyBorder="1"/>
    <xf numFmtId="0" fontId="0" fillId="0" borderId="9" xfId="0" applyFont="1" applyFill="1" applyBorder="1"/>
    <xf numFmtId="167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Protection="1">
      <protection locked="0"/>
    </xf>
    <xf numFmtId="167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8" fillId="2" borderId="0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8" fillId="2" borderId="8" xfId="0" applyNumberFormat="1" applyFont="1" applyFill="1" applyBorder="1" applyProtection="1">
      <protection locked="0"/>
    </xf>
    <xf numFmtId="167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4" t="s">
        <v>0</v>
      </c>
      <c r="B1" s="194"/>
      <c r="C1" s="194"/>
      <c r="D1" s="194"/>
      <c r="E1" s="194"/>
    </row>
    <row r="2" spans="1:5" ht="24.75" customHeight="1">
      <c r="A2" s="193"/>
      <c r="B2" s="193"/>
      <c r="C2" s="193"/>
      <c r="D2" s="193"/>
      <c r="E2" s="193"/>
    </row>
    <row r="4" spans="1:5" ht="18" customHeight="1">
      <c r="A4" s="192" t="str">
        <f>"Assessment year "&amp;C31</f>
        <v>Assessment year 2011</v>
      </c>
      <c r="B4" s="192"/>
      <c r="C4" s="192"/>
      <c r="D4" s="192"/>
      <c r="E4" s="192"/>
    </row>
    <row r="5" spans="1:5" ht="18" customHeight="1">
      <c r="A5" s="192" t="str">
        <f>"Reference year "&amp;C30</f>
        <v>Reference year 2015</v>
      </c>
      <c r="B5" s="192"/>
      <c r="C5" s="192"/>
      <c r="D5" s="192"/>
      <c r="E5" s="192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2015</v>
      </c>
    </row>
    <row r="31" spans="2:3">
      <c r="B31" s="7" t="s">
        <v>11</v>
      </c>
      <c r="C31" s="8">
        <v>2011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2011</v>
      </c>
      <c r="B1" s="10"/>
      <c r="C1" s="10"/>
      <c r="I1" s="11"/>
    </row>
    <row r="2" spans="1:9" ht="31.5" customHeight="1">
      <c r="A2" s="12" t="str">
        <f>Info!A5</f>
        <v>Reference year 2015</v>
      </c>
      <c r="B2" s="13"/>
      <c r="C2" s="13"/>
      <c r="D2" s="14"/>
      <c r="I2" s="15" t="str">
        <f>Info!C28</f>
        <v>FA_2015_20140616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4964990717</v>
      </c>
      <c r="C10" s="48">
        <v>62862707</v>
      </c>
      <c r="D10" s="49">
        <v>0</v>
      </c>
      <c r="E10" s="48">
        <v>489096507</v>
      </c>
      <c r="F10" s="48">
        <v>0</v>
      </c>
      <c r="G10" s="48">
        <v>0</v>
      </c>
      <c r="H10" s="50">
        <v>0</v>
      </c>
      <c r="I10" s="51">
        <f t="shared" ref="I10:I36" si="0">SUM(B10:H10)</f>
        <v>5516949931</v>
      </c>
    </row>
    <row r="11" spans="1:9">
      <c r="A11" s="52" t="s">
        <v>43</v>
      </c>
      <c r="B11" s="53">
        <v>1534247081.6099999</v>
      </c>
      <c r="C11" s="53">
        <v>108259426.72</v>
      </c>
      <c r="D11" s="54">
        <v>82142.05</v>
      </c>
      <c r="E11" s="53">
        <v>15048557.380000001</v>
      </c>
      <c r="F11" s="53">
        <v>0</v>
      </c>
      <c r="G11" s="53">
        <v>119460990.55</v>
      </c>
      <c r="H11" s="55">
        <v>0</v>
      </c>
      <c r="I11" s="56">
        <f t="shared" si="0"/>
        <v>1777098198.3099999</v>
      </c>
    </row>
    <row r="12" spans="1:9">
      <c r="A12" s="57" t="s">
        <v>44</v>
      </c>
      <c r="B12" s="58">
        <v>684400917.90999997</v>
      </c>
      <c r="C12" s="58">
        <v>33992620.100000001</v>
      </c>
      <c r="D12" s="59">
        <v>565337.59999999998</v>
      </c>
      <c r="E12" s="58">
        <v>5777183.3200000003</v>
      </c>
      <c r="F12" s="58">
        <v>0</v>
      </c>
      <c r="G12" s="58">
        <v>0</v>
      </c>
      <c r="H12" s="60">
        <v>0</v>
      </c>
      <c r="I12" s="61">
        <f t="shared" si="0"/>
        <v>724736058.93000007</v>
      </c>
    </row>
    <row r="13" spans="1:9">
      <c r="A13" s="52" t="s">
        <v>45</v>
      </c>
      <c r="B13" s="53">
        <v>75093964</v>
      </c>
      <c r="C13" s="53">
        <v>0</v>
      </c>
      <c r="D13" s="54">
        <v>2754008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77847972</v>
      </c>
    </row>
    <row r="14" spans="1:9">
      <c r="A14" s="57" t="s">
        <v>46</v>
      </c>
      <c r="B14" s="58">
        <v>307712334</v>
      </c>
      <c r="C14" s="58">
        <v>53968115</v>
      </c>
      <c r="D14" s="59">
        <v>1300958</v>
      </c>
      <c r="E14" s="58">
        <v>2106932</v>
      </c>
      <c r="F14" s="58">
        <v>0</v>
      </c>
      <c r="G14" s="58">
        <v>0</v>
      </c>
      <c r="H14" s="60">
        <v>0</v>
      </c>
      <c r="I14" s="61">
        <f t="shared" si="0"/>
        <v>365088339</v>
      </c>
    </row>
    <row r="15" spans="1:9">
      <c r="A15" s="52" t="s">
        <v>47</v>
      </c>
      <c r="B15" s="53">
        <v>79485411.609999999</v>
      </c>
      <c r="C15" s="53">
        <v>4659719.1100000003</v>
      </c>
      <c r="D15" s="54">
        <v>177150</v>
      </c>
      <c r="E15" s="53">
        <v>267872.23</v>
      </c>
      <c r="F15" s="53">
        <v>0</v>
      </c>
      <c r="G15" s="53">
        <v>0</v>
      </c>
      <c r="H15" s="55">
        <v>0</v>
      </c>
      <c r="I15" s="56">
        <f t="shared" si="0"/>
        <v>84590152.950000003</v>
      </c>
    </row>
    <row r="16" spans="1:9">
      <c r="A16" s="57" t="s">
        <v>48</v>
      </c>
      <c r="B16" s="58">
        <v>74363685.879999995</v>
      </c>
      <c r="C16" s="58">
        <v>1355923.5</v>
      </c>
      <c r="D16" s="59">
        <v>2593398</v>
      </c>
      <c r="E16" s="58">
        <v>539570.65</v>
      </c>
      <c r="F16" s="58">
        <v>0</v>
      </c>
      <c r="G16" s="58">
        <v>0</v>
      </c>
      <c r="H16" s="60">
        <v>0</v>
      </c>
      <c r="I16" s="61">
        <f t="shared" si="0"/>
        <v>78852578.030000001</v>
      </c>
    </row>
    <row r="17" spans="1:9">
      <c r="A17" s="52" t="s">
        <v>49</v>
      </c>
      <c r="B17" s="53">
        <v>112560578.55</v>
      </c>
      <c r="C17" s="53">
        <v>560423.85</v>
      </c>
      <c r="D17" s="54">
        <v>9863782.9800000004</v>
      </c>
      <c r="E17" s="53">
        <v>274696.75</v>
      </c>
      <c r="F17" s="53">
        <v>0</v>
      </c>
      <c r="G17" s="53">
        <v>0</v>
      </c>
      <c r="H17" s="55">
        <v>0</v>
      </c>
      <c r="I17" s="56">
        <f t="shared" si="0"/>
        <v>123259482.13</v>
      </c>
    </row>
    <row r="18" spans="1:9">
      <c r="A18" s="57" t="s">
        <v>50</v>
      </c>
      <c r="B18" s="58">
        <v>655359219</v>
      </c>
      <c r="C18" s="58">
        <v>37784843.509999998</v>
      </c>
      <c r="D18" s="59">
        <v>2677197</v>
      </c>
      <c r="E18" s="58">
        <v>4391134</v>
      </c>
      <c r="F18" s="58">
        <v>0</v>
      </c>
      <c r="G18" s="58">
        <v>0</v>
      </c>
      <c r="H18" s="60">
        <v>0</v>
      </c>
      <c r="I18" s="61">
        <f t="shared" si="0"/>
        <v>700212393.50999999</v>
      </c>
    </row>
    <row r="19" spans="1:9">
      <c r="A19" s="52" t="s">
        <v>51</v>
      </c>
      <c r="B19" s="53">
        <v>598084455</v>
      </c>
      <c r="C19" s="53">
        <v>0</v>
      </c>
      <c r="D19" s="54">
        <v>3342900</v>
      </c>
      <c r="E19" s="53">
        <v>310325</v>
      </c>
      <c r="F19" s="53">
        <v>0</v>
      </c>
      <c r="G19" s="53">
        <v>0</v>
      </c>
      <c r="H19" s="55">
        <v>0</v>
      </c>
      <c r="I19" s="56">
        <f t="shared" si="0"/>
        <v>601737680</v>
      </c>
    </row>
    <row r="20" spans="1:9">
      <c r="A20" s="57" t="s">
        <v>52</v>
      </c>
      <c r="B20" s="58">
        <v>376954483.63999999</v>
      </c>
      <c r="C20" s="58">
        <v>15458520.35</v>
      </c>
      <c r="D20" s="59">
        <v>724377.5</v>
      </c>
      <c r="E20" s="58">
        <v>36218528</v>
      </c>
      <c r="F20" s="58">
        <v>0</v>
      </c>
      <c r="G20" s="58">
        <v>82243763.25</v>
      </c>
      <c r="H20" s="60">
        <v>0</v>
      </c>
      <c r="I20" s="61">
        <f t="shared" si="0"/>
        <v>511599672.74000001</v>
      </c>
    </row>
    <row r="21" spans="1:9">
      <c r="A21" s="52" t="s">
        <v>53</v>
      </c>
      <c r="B21" s="53">
        <v>746021652.07000005</v>
      </c>
      <c r="C21" s="53">
        <v>150527506.47</v>
      </c>
      <c r="D21" s="54">
        <v>1335429.75</v>
      </c>
      <c r="E21" s="53">
        <v>1303166699.4000001</v>
      </c>
      <c r="F21" s="53">
        <v>0</v>
      </c>
      <c r="G21" s="53">
        <v>1527656298.1500001</v>
      </c>
      <c r="H21" s="55">
        <v>0</v>
      </c>
      <c r="I21" s="56">
        <f t="shared" si="0"/>
        <v>3728707585.8400002</v>
      </c>
    </row>
    <row r="22" spans="1:9">
      <c r="A22" s="57" t="s">
        <v>54</v>
      </c>
      <c r="B22" s="58">
        <v>389214719.74000001</v>
      </c>
      <c r="C22" s="58">
        <v>86920277.180000007</v>
      </c>
      <c r="D22" s="59">
        <v>1340941.1000000001</v>
      </c>
      <c r="E22" s="58">
        <v>635103116.95000005</v>
      </c>
      <c r="F22" s="58">
        <v>0</v>
      </c>
      <c r="G22" s="58">
        <v>952496409</v>
      </c>
      <c r="H22" s="60">
        <v>0</v>
      </c>
      <c r="I22" s="61">
        <f t="shared" si="0"/>
        <v>2065075463.97</v>
      </c>
    </row>
    <row r="23" spans="1:9">
      <c r="A23" s="52" t="s">
        <v>55</v>
      </c>
      <c r="B23" s="53">
        <v>300731719.89999998</v>
      </c>
      <c r="C23" s="53">
        <v>21980352</v>
      </c>
      <c r="D23" s="54">
        <v>547544.65</v>
      </c>
      <c r="E23" s="53">
        <v>337216070.19999999</v>
      </c>
      <c r="F23" s="53">
        <v>0</v>
      </c>
      <c r="G23" s="53">
        <v>0</v>
      </c>
      <c r="H23" s="55">
        <v>0</v>
      </c>
      <c r="I23" s="56">
        <f t="shared" si="0"/>
        <v>660475686.75</v>
      </c>
    </row>
    <row r="24" spans="1:9">
      <c r="A24" s="57" t="s">
        <v>56</v>
      </c>
      <c r="B24" s="58">
        <v>97771896</v>
      </c>
      <c r="C24" s="58">
        <v>5160053</v>
      </c>
      <c r="D24" s="59">
        <v>12838485</v>
      </c>
      <c r="E24" s="58">
        <v>3966479</v>
      </c>
      <c r="F24" s="58">
        <v>0</v>
      </c>
      <c r="G24" s="58">
        <v>0</v>
      </c>
      <c r="H24" s="60">
        <v>0</v>
      </c>
      <c r="I24" s="61">
        <f t="shared" si="0"/>
        <v>119736913</v>
      </c>
    </row>
    <row r="25" spans="1:9">
      <c r="A25" s="52" t="s">
        <v>57</v>
      </c>
      <c r="B25" s="53">
        <v>17972244.210000001</v>
      </c>
      <c r="C25" s="53">
        <v>1707151.39</v>
      </c>
      <c r="D25" s="54">
        <v>3753892.98</v>
      </c>
      <c r="E25" s="53">
        <v>637680.12</v>
      </c>
      <c r="F25" s="53">
        <v>0</v>
      </c>
      <c r="G25" s="53">
        <v>0</v>
      </c>
      <c r="H25" s="55">
        <v>0</v>
      </c>
      <c r="I25" s="56">
        <f t="shared" si="0"/>
        <v>24070968.700000003</v>
      </c>
    </row>
    <row r="26" spans="1:9">
      <c r="A26" s="57" t="s">
        <v>58</v>
      </c>
      <c r="B26" s="58">
        <v>922874888</v>
      </c>
      <c r="C26" s="58">
        <v>64822618</v>
      </c>
      <c r="D26" s="59">
        <v>462382371</v>
      </c>
      <c r="E26" s="58">
        <v>70388137</v>
      </c>
      <c r="F26" s="58">
        <v>0</v>
      </c>
      <c r="G26" s="58">
        <v>0</v>
      </c>
      <c r="H26" s="60">
        <v>0</v>
      </c>
      <c r="I26" s="61">
        <f t="shared" si="0"/>
        <v>1520468014</v>
      </c>
    </row>
    <row r="27" spans="1:9">
      <c r="A27" s="52" t="s">
        <v>59</v>
      </c>
      <c r="B27" s="53">
        <v>811476133</v>
      </c>
      <c r="C27" s="53">
        <v>201433665</v>
      </c>
      <c r="D27" s="54">
        <v>16513572</v>
      </c>
      <c r="E27" s="53">
        <v>0</v>
      </c>
      <c r="F27" s="53">
        <v>0</v>
      </c>
      <c r="G27" s="53">
        <v>0</v>
      </c>
      <c r="H27" s="55">
        <v>57772513</v>
      </c>
      <c r="I27" s="56">
        <f t="shared" si="0"/>
        <v>1087195883</v>
      </c>
    </row>
    <row r="28" spans="1:9">
      <c r="A28" s="57" t="s">
        <v>60</v>
      </c>
      <c r="B28" s="58">
        <v>1070752355</v>
      </c>
      <c r="C28" s="58">
        <v>242532262.44999999</v>
      </c>
      <c r="D28" s="59">
        <v>2298654</v>
      </c>
      <c r="E28" s="58">
        <v>796528415.79999995</v>
      </c>
      <c r="F28" s="58">
        <v>0</v>
      </c>
      <c r="G28" s="58">
        <v>0</v>
      </c>
      <c r="H28" s="60">
        <v>0</v>
      </c>
      <c r="I28" s="61">
        <f t="shared" si="0"/>
        <v>2112111687.25</v>
      </c>
    </row>
    <row r="29" spans="1:9">
      <c r="A29" s="52" t="s">
        <v>61</v>
      </c>
      <c r="B29" s="53">
        <v>592818775.34000003</v>
      </c>
      <c r="C29" s="53">
        <v>45919372.390000001</v>
      </c>
      <c r="D29" s="54">
        <v>15351178.91</v>
      </c>
      <c r="E29" s="53">
        <v>257932455.68000001</v>
      </c>
      <c r="F29" s="53">
        <v>0</v>
      </c>
      <c r="G29" s="53">
        <v>0</v>
      </c>
      <c r="H29" s="55">
        <v>0</v>
      </c>
      <c r="I29" s="56">
        <f t="shared" si="0"/>
        <v>912021782.31999993</v>
      </c>
    </row>
    <row r="30" spans="1:9">
      <c r="A30" s="57" t="s">
        <v>62</v>
      </c>
      <c r="B30" s="58">
        <v>836742194</v>
      </c>
      <c r="C30" s="58">
        <v>446988002</v>
      </c>
      <c r="D30" s="59">
        <v>13517735</v>
      </c>
      <c r="E30" s="58">
        <v>0</v>
      </c>
      <c r="F30" s="58">
        <v>0</v>
      </c>
      <c r="G30" s="58">
        <v>0</v>
      </c>
      <c r="H30" s="60">
        <v>2564454749</v>
      </c>
      <c r="I30" s="61">
        <f t="shared" si="0"/>
        <v>3861702680</v>
      </c>
    </row>
    <row r="31" spans="1:9">
      <c r="A31" s="52" t="s">
        <v>63</v>
      </c>
      <c r="B31" s="53">
        <v>2727881427</v>
      </c>
      <c r="C31" s="53">
        <v>0</v>
      </c>
      <c r="D31" s="54">
        <v>0</v>
      </c>
      <c r="E31" s="53">
        <v>0</v>
      </c>
      <c r="F31" s="53">
        <v>0</v>
      </c>
      <c r="G31" s="53">
        <v>1750640052</v>
      </c>
      <c r="H31" s="55">
        <v>0</v>
      </c>
      <c r="I31" s="56">
        <f t="shared" si="0"/>
        <v>4478521479</v>
      </c>
    </row>
    <row r="32" spans="1:9">
      <c r="A32" s="57" t="s">
        <v>64</v>
      </c>
      <c r="B32" s="58">
        <v>1013960467</v>
      </c>
      <c r="C32" s="58">
        <v>8901658</v>
      </c>
      <c r="D32" s="59">
        <v>0</v>
      </c>
      <c r="E32" s="58">
        <v>271559</v>
      </c>
      <c r="F32" s="58">
        <v>0</v>
      </c>
      <c r="G32" s="58">
        <v>83246829</v>
      </c>
      <c r="H32" s="60">
        <v>54556329</v>
      </c>
      <c r="I32" s="61">
        <f t="shared" si="0"/>
        <v>1160936842</v>
      </c>
    </row>
    <row r="33" spans="1:9">
      <c r="A33" s="52" t="s">
        <v>65</v>
      </c>
      <c r="B33" s="53">
        <v>338001722</v>
      </c>
      <c r="C33" s="53">
        <v>16369532</v>
      </c>
      <c r="D33" s="54">
        <v>37230</v>
      </c>
      <c r="E33" s="53">
        <v>71509</v>
      </c>
      <c r="F33" s="53">
        <v>0</v>
      </c>
      <c r="G33" s="53">
        <v>820450462</v>
      </c>
      <c r="H33" s="55">
        <v>0</v>
      </c>
      <c r="I33" s="56">
        <f t="shared" si="0"/>
        <v>1174930455</v>
      </c>
    </row>
    <row r="34" spans="1:9">
      <c r="A34" s="57" t="s">
        <v>66</v>
      </c>
      <c r="B34" s="58">
        <v>2665501985</v>
      </c>
      <c r="C34" s="58">
        <v>342324696</v>
      </c>
      <c r="D34" s="59">
        <v>1348863</v>
      </c>
      <c r="E34" s="58">
        <v>0</v>
      </c>
      <c r="F34" s="58">
        <v>7319068553</v>
      </c>
      <c r="G34" s="58">
        <v>0</v>
      </c>
      <c r="H34" s="60">
        <v>0</v>
      </c>
      <c r="I34" s="61">
        <f t="shared" si="0"/>
        <v>10328244097</v>
      </c>
    </row>
    <row r="35" spans="1:9">
      <c r="A35" s="62" t="s">
        <v>67</v>
      </c>
      <c r="B35" s="63">
        <v>74162967</v>
      </c>
      <c r="C35" s="63">
        <v>6326213.21</v>
      </c>
      <c r="D35" s="64">
        <v>0</v>
      </c>
      <c r="E35" s="63">
        <v>461457</v>
      </c>
      <c r="F35" s="63">
        <v>0</v>
      </c>
      <c r="G35" s="63">
        <v>423190469</v>
      </c>
      <c r="H35" s="65">
        <v>0</v>
      </c>
      <c r="I35" s="66">
        <f t="shared" si="0"/>
        <v>504141106.20999998</v>
      </c>
    </row>
    <row r="36" spans="1:9">
      <c r="A36" s="2" t="s">
        <v>68</v>
      </c>
      <c r="B36" s="67">
        <f t="shared" ref="B36:H36" si="1">SUM(B10:B35)</f>
        <v>22069137993.459999</v>
      </c>
      <c r="C36" s="67">
        <f t="shared" si="1"/>
        <v>1960815658.23</v>
      </c>
      <c r="D36" s="68">
        <f t="shared" si="1"/>
        <v>555347148.51999998</v>
      </c>
      <c r="E36" s="67">
        <f t="shared" si="1"/>
        <v>3959774885.48</v>
      </c>
      <c r="F36" s="67">
        <f t="shared" si="1"/>
        <v>7319068553</v>
      </c>
      <c r="G36" s="67">
        <f t="shared" si="1"/>
        <v>5759385272.9499998</v>
      </c>
      <c r="H36" s="69">
        <f t="shared" si="1"/>
        <v>2676783591</v>
      </c>
      <c r="I36" s="70">
        <f t="shared" si="0"/>
        <v>44300313102.639999</v>
      </c>
    </row>
    <row r="37" spans="1:9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2" t="str">
        <f>"Gamma calculation "&amp;Info!C31</f>
        <v>Gamma calculation 2011</v>
      </c>
      <c r="B1" s="73"/>
    </row>
    <row r="2" spans="1:4" ht="15.75" customHeight="1">
      <c r="A2" s="74" t="str">
        <f>Gross_wages!A2</f>
        <v>Reference year 2015</v>
      </c>
      <c r="B2" s="75"/>
    </row>
    <row r="3" spans="1:4" ht="33" customHeight="1">
      <c r="C3" s="76" t="str">
        <f>Info!$C$28</f>
        <v>FA_2015_20140616</v>
      </c>
    </row>
    <row r="4" spans="1:4" ht="15.75" customHeight="1">
      <c r="B4" s="77" t="s">
        <v>38</v>
      </c>
      <c r="C4" s="78" t="s">
        <v>69</v>
      </c>
      <c r="D4" s="79"/>
    </row>
    <row r="5" spans="1:4">
      <c r="A5" s="71" t="s">
        <v>70</v>
      </c>
      <c r="B5" s="80" t="s">
        <v>71</v>
      </c>
      <c r="C5" s="81">
        <v>431123591.43698502</v>
      </c>
      <c r="D5" s="82"/>
    </row>
    <row r="6" spans="1:4">
      <c r="A6" s="83" t="s">
        <v>72</v>
      </c>
      <c r="B6" s="84" t="str">
        <f>"ATB_"&amp;Info!C30&amp;"_"&amp;Info!C31&amp;".xlsx"</f>
        <v>ATB_2015_2011.xlsx</v>
      </c>
      <c r="C6" s="85">
        <f>Calculation_ITS!O39</f>
        <v>164431392.30000001</v>
      </c>
      <c r="D6" s="82"/>
    </row>
    <row r="7" spans="1:4" ht="24.75" customHeight="1">
      <c r="A7" s="86" t="s">
        <v>73</v>
      </c>
      <c r="B7" s="87"/>
      <c r="C7" s="88">
        <f>ROUND(C6/C5,3)</f>
        <v>0.38100000000000001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/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2011</v>
      </c>
      <c r="B1" s="10"/>
      <c r="C1" s="10"/>
      <c r="D1" s="10"/>
      <c r="E1" s="10"/>
      <c r="F1" s="10"/>
      <c r="H1" s="11"/>
      <c r="R1" s="9"/>
    </row>
    <row r="2" spans="1:22" ht="18.75" customHeight="1">
      <c r="A2" s="90" t="str">
        <f>Info!A5</f>
        <v>Reference year 2015</v>
      </c>
      <c r="B2" s="91"/>
      <c r="H2" s="89"/>
      <c r="R2" s="9"/>
    </row>
    <row r="3" spans="1:22" ht="18.75" customHeight="1">
      <c r="A3" s="92"/>
      <c r="B3" s="91"/>
      <c r="H3" s="89"/>
      <c r="L3" s="93" t="str">
        <f>Info!C28</f>
        <v>FA_2015_20140616</v>
      </c>
      <c r="R3" s="9"/>
    </row>
    <row r="4" spans="1:22" ht="37.5" customHeight="1">
      <c r="A4" s="220" t="str">
        <f>"Calculation based on gross wages "&amp;Info!C31</f>
        <v>Calculation based on gross wages 2011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11" t="s">
        <v>74</v>
      </c>
      <c r="O4" s="212"/>
      <c r="P4" s="212"/>
      <c r="Q4" s="213"/>
      <c r="S4" s="94"/>
    </row>
    <row r="5" spans="1:22" ht="16.5" customHeight="1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07" t="str">
        <f>"Relevant income "&amp;Info!C31</f>
        <v>Relevant income 2011</v>
      </c>
      <c r="P8" s="195" t="s">
        <v>92</v>
      </c>
      <c r="Q8" s="202" t="s">
        <v>93</v>
      </c>
      <c r="R8" s="119"/>
      <c r="S8" s="214" t="s">
        <v>94</v>
      </c>
    </row>
    <row r="9" spans="1:22" s="120" customFormat="1" ht="15.75" customHeight="1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08"/>
      <c r="P9" s="205"/>
      <c r="Q9" s="204"/>
      <c r="R9" s="119"/>
      <c r="S9" s="215"/>
      <c r="U9" s="122"/>
      <c r="V9" s="123" t="str">
        <f>Info!C28</f>
        <v>FA_2015_20140616</v>
      </c>
    </row>
    <row r="10" spans="1:22" s="120" customFormat="1" ht="66" customHeight="1">
      <c r="A10" s="31"/>
      <c r="B10" s="205"/>
      <c r="C10" s="20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5"/>
      <c r="J10" s="205"/>
      <c r="K10" s="205"/>
      <c r="L10" s="204"/>
      <c r="M10" s="118"/>
      <c r="N10" s="124"/>
      <c r="O10" s="209"/>
      <c r="P10" s="206"/>
      <c r="Q10" s="210"/>
      <c r="R10" s="119"/>
      <c r="S10" s="215"/>
      <c r="U10" s="218" t="str">
        <f>"Standardised tax rate 
(STRate) "&amp;Info!C30-1</f>
        <v>Standardised tax rate 
(STRate) 2014</v>
      </c>
      <c r="V10" s="219"/>
    </row>
    <row r="11" spans="1:22" s="125" customFormat="1" ht="15" customHeight="1">
      <c r="A11" s="126" t="s">
        <v>99</v>
      </c>
      <c r="B11" s="127">
        <f>gamma</f>
        <v>0.38100000000000001</v>
      </c>
      <c r="C11" s="127">
        <f>gamma</f>
        <v>0.38100000000000001</v>
      </c>
      <c r="D11" s="128">
        <f>IF(Info!C31&lt;2006,0.03/sst,0.875*gamma)</f>
        <v>0.33337499999999998</v>
      </c>
      <c r="E11" s="127">
        <f>0.045/sst</f>
        <v>0.1607142857142857</v>
      </c>
      <c r="F11" s="127">
        <f>gamma-0.035/sst</f>
        <v>0.25600000000000001</v>
      </c>
      <c r="G11" s="127">
        <f>0.045/sst</f>
        <v>0.1607142857142857</v>
      </c>
      <c r="H11" s="129">
        <f>0.6*gamma</f>
        <v>0.2286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ATB_2015_2011.xlsx</v>
      </c>
      <c r="P11" s="133"/>
      <c r="Q11" s="133"/>
      <c r="R11" s="134"/>
      <c r="S11" s="135"/>
      <c r="U11" s="216" t="str">
        <f>"Data source: ER_"&amp;Info!C30-1&amp;".xlsx"</f>
        <v>Data source: ER_2014.xlsx</v>
      </c>
      <c r="V11" s="217"/>
    </row>
    <row r="12" spans="1:22" s="125" customFormat="1" ht="12.75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>
      <c r="A13" s="141" t="s">
        <v>42</v>
      </c>
      <c r="B13" s="142">
        <f>(Gross_wages!B10*B$11)/1000</f>
        <v>1891661.4631769999</v>
      </c>
      <c r="C13" s="142">
        <f>(Gross_wages!C10*C$11)/1000</f>
        <v>23950.691366999999</v>
      </c>
      <c r="D13" s="143">
        <f>(Gross_wages!D10*D$11)/1000</f>
        <v>0</v>
      </c>
      <c r="E13" s="142">
        <f>(Gross_wages!E10*E$11)/1000</f>
        <v>78604.79576785714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102555.48713485713</v>
      </c>
      <c r="J13" s="145">
        <f t="shared" ref="J13:J38" si="1">$J$39</f>
        <v>0.75</v>
      </c>
      <c r="K13" s="142">
        <f t="shared" ref="K13:K39" si="2">I13*J13</f>
        <v>76916.615351142857</v>
      </c>
      <c r="L13" s="146">
        <f t="shared" ref="L13:L39" si="3">K13+B13</f>
        <v>1968578.0785281428</v>
      </c>
      <c r="M13" s="147"/>
      <c r="N13" s="141" t="s">
        <v>42</v>
      </c>
      <c r="O13" s="148">
        <v>36444289.200000003</v>
      </c>
      <c r="P13" s="149">
        <v>0</v>
      </c>
      <c r="Q13" s="146">
        <f>IF(Calculation_ITS!L13=0,O13*P13,0)</f>
        <v>0</v>
      </c>
      <c r="R13" s="150"/>
      <c r="S13" s="151">
        <f>Calculation_ITS!L13+Q13</f>
        <v>1968578.0785281428</v>
      </c>
      <c r="U13" s="152" t="s">
        <v>100</v>
      </c>
      <c r="V13" s="153">
        <v>0.279645000495235</v>
      </c>
    </row>
    <row r="14" spans="1:22" ht="15.75" customHeight="1">
      <c r="A14" s="154" t="s">
        <v>43</v>
      </c>
      <c r="B14" s="155">
        <f>(Gross_wages!B11*B$11)/1000</f>
        <v>584548.13809341006</v>
      </c>
      <c r="C14" s="155">
        <f>(Gross_wages!C11*C$11)/1000</f>
        <v>41246.841580320004</v>
      </c>
      <c r="D14" s="156">
        <f>(Gross_wages!D11*D$11)/1000</f>
        <v>27.384105918749999</v>
      </c>
      <c r="E14" s="155">
        <f>(Gross_wages!E11*E$11)/1000</f>
        <v>2418.5181503571425</v>
      </c>
      <c r="F14" s="155">
        <f>(Gross_wages!F11*F$11)/1000</f>
        <v>0</v>
      </c>
      <c r="G14" s="155">
        <f>(Gross_wages!G11*G$11)/1000</f>
        <v>19199.087766964283</v>
      </c>
      <c r="H14" s="157">
        <f>(Gross_wages!H11*H$11)/1000</f>
        <v>0</v>
      </c>
      <c r="I14" s="155">
        <f t="shared" si="0"/>
        <v>62891.831603560175</v>
      </c>
      <c r="J14" s="158">
        <f t="shared" si="1"/>
        <v>0.75</v>
      </c>
      <c r="K14" s="155">
        <f t="shared" si="2"/>
        <v>47168.873702670127</v>
      </c>
      <c r="L14" s="159">
        <f t="shared" si="3"/>
        <v>631717.01179608016</v>
      </c>
      <c r="M14" s="147"/>
      <c r="N14" s="154" t="s">
        <v>43</v>
      </c>
      <c r="O14" s="160">
        <v>15571543.9</v>
      </c>
      <c r="P14" s="161">
        <v>0</v>
      </c>
      <c r="Q14" s="159">
        <f>IF(Calculation_ITS!L14=0,O14*P14,0)</f>
        <v>0</v>
      </c>
      <c r="R14" s="150"/>
      <c r="S14" s="162">
        <f>Calculation_ITS!L14+Q14</f>
        <v>631717.01179608016</v>
      </c>
      <c r="U14" s="163" t="s">
        <v>101</v>
      </c>
      <c r="V14" s="164">
        <f>ROUND(V13,3)</f>
        <v>0.28000000000000003</v>
      </c>
    </row>
    <row r="15" spans="1:22" ht="15.75" customHeight="1">
      <c r="A15" s="165" t="s">
        <v>44</v>
      </c>
      <c r="B15" s="166">
        <f>(Gross_wages!B12*B$11)/1000</f>
        <v>260756.74972371</v>
      </c>
      <c r="C15" s="166">
        <f>(Gross_wages!C12*C$11)/1000</f>
        <v>12951.188258100001</v>
      </c>
      <c r="D15" s="167">
        <f>(Gross_wages!D12*D$11)/1000</f>
        <v>188.46942239999998</v>
      </c>
      <c r="E15" s="166">
        <f>(Gross_wages!E12*E$11)/1000</f>
        <v>928.4758907142857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14068.133571214286</v>
      </c>
      <c r="J15" s="169">
        <f t="shared" si="1"/>
        <v>0.75</v>
      </c>
      <c r="K15" s="166">
        <f t="shared" si="2"/>
        <v>10551.100178410714</v>
      </c>
      <c r="L15" s="170">
        <f t="shared" si="3"/>
        <v>271307.84990212071</v>
      </c>
      <c r="M15" s="147"/>
      <c r="N15" s="165" t="s">
        <v>44</v>
      </c>
      <c r="O15" s="171">
        <v>6479996.7999999998</v>
      </c>
      <c r="P15" s="172">
        <v>0</v>
      </c>
      <c r="Q15" s="170">
        <f>IF(Calculation_ITS!L15=0,O15*P15,0)</f>
        <v>0</v>
      </c>
      <c r="R15" s="150"/>
      <c r="S15" s="173">
        <f>Calculation_ITS!L15+Q15</f>
        <v>271307.84990212071</v>
      </c>
    </row>
    <row r="16" spans="1:22" ht="15.75" customHeight="1">
      <c r="A16" s="154" t="s">
        <v>45</v>
      </c>
      <c r="B16" s="155">
        <f>(Gross_wages!B13*B$11)/1000</f>
        <v>28610.800284000001</v>
      </c>
      <c r="C16" s="155">
        <f>(Gross_wages!C13*C$11)/1000</f>
        <v>0</v>
      </c>
      <c r="D16" s="156">
        <f>(Gross_wages!D13*D$11)/1000</f>
        <v>918.11741699999993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918.11741699999993</v>
      </c>
      <c r="J16" s="158">
        <f t="shared" si="1"/>
        <v>0.75</v>
      </c>
      <c r="K16" s="155">
        <f t="shared" si="2"/>
        <v>688.58806274999995</v>
      </c>
      <c r="L16" s="159">
        <f t="shared" si="3"/>
        <v>29299.388346750002</v>
      </c>
      <c r="M16" s="147"/>
      <c r="N16" s="154" t="s">
        <v>45</v>
      </c>
      <c r="O16" s="160">
        <v>452188.4</v>
      </c>
      <c r="P16" s="161">
        <v>0</v>
      </c>
      <c r="Q16" s="159">
        <f>IF(Calculation_ITS!L16=0,O16*P16,0)</f>
        <v>0</v>
      </c>
      <c r="R16" s="150"/>
      <c r="S16" s="162">
        <f>Calculation_ITS!L16+Q16</f>
        <v>29299.388346750002</v>
      </c>
    </row>
    <row r="17" spans="1:19" ht="15.75" customHeight="1">
      <c r="A17" s="165" t="s">
        <v>46</v>
      </c>
      <c r="B17" s="166">
        <f>(Gross_wages!B14*B$11)/1000</f>
        <v>117238.399254</v>
      </c>
      <c r="C17" s="166">
        <f>(Gross_wages!C14*C$11)/1000</f>
        <v>20561.851815000002</v>
      </c>
      <c r="D17" s="167">
        <f>(Gross_wages!D14*D$11)/1000</f>
        <v>433.70687324999994</v>
      </c>
      <c r="E17" s="166">
        <f>(Gross_wages!E14*E$11)/1000</f>
        <v>338.61407142857144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21334.172759678575</v>
      </c>
      <c r="J17" s="169">
        <f t="shared" si="1"/>
        <v>0.75</v>
      </c>
      <c r="K17" s="166">
        <f t="shared" si="2"/>
        <v>16000.62956975893</v>
      </c>
      <c r="L17" s="170">
        <f t="shared" si="3"/>
        <v>133239.02882375894</v>
      </c>
      <c r="M17" s="147"/>
      <c r="N17" s="165" t="s">
        <v>46</v>
      </c>
      <c r="O17" s="171">
        <v>6110860.7999999998</v>
      </c>
      <c r="P17" s="172">
        <v>0</v>
      </c>
      <c r="Q17" s="170">
        <f>IF(Calculation_ITS!L17=0,O17*P17,0)</f>
        <v>0</v>
      </c>
      <c r="R17" s="150"/>
      <c r="S17" s="173">
        <f>Calculation_ITS!L17+Q17</f>
        <v>133239.02882375894</v>
      </c>
    </row>
    <row r="18" spans="1:19" ht="15.75" customHeight="1">
      <c r="A18" s="154" t="s">
        <v>47</v>
      </c>
      <c r="B18" s="155">
        <f>(Gross_wages!B15*B$11)/1000</f>
        <v>30283.941823410001</v>
      </c>
      <c r="C18" s="155">
        <f>(Gross_wages!C15*C$11)/1000</f>
        <v>1775.3529809100003</v>
      </c>
      <c r="D18" s="156">
        <f>(Gross_wages!D15*D$11)/1000</f>
        <v>59.057381249999999</v>
      </c>
      <c r="E18" s="155">
        <f>(Gross_wages!E15*E$11)/1000</f>
        <v>43.050894107142852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1877.461256267143</v>
      </c>
      <c r="J18" s="158">
        <f t="shared" si="1"/>
        <v>0.75</v>
      </c>
      <c r="K18" s="155">
        <f t="shared" si="2"/>
        <v>1408.0959422003573</v>
      </c>
      <c r="L18" s="159">
        <f t="shared" si="3"/>
        <v>31692.037765610359</v>
      </c>
      <c r="M18" s="147"/>
      <c r="N18" s="154" t="s">
        <v>47</v>
      </c>
      <c r="O18" s="160">
        <v>641642.9</v>
      </c>
      <c r="P18" s="161">
        <v>0</v>
      </c>
      <c r="Q18" s="159">
        <f>IF(Calculation_ITS!L18=0,O18*P18,0)</f>
        <v>0</v>
      </c>
      <c r="R18" s="150"/>
      <c r="S18" s="162">
        <f>Calculation_ITS!L18+Q18</f>
        <v>31692.037765610359</v>
      </c>
    </row>
    <row r="19" spans="1:19" ht="15.75" customHeight="1">
      <c r="A19" s="165" t="s">
        <v>48</v>
      </c>
      <c r="B19" s="166">
        <f>(Gross_wages!B16*B$11)/1000</f>
        <v>28332.564320279998</v>
      </c>
      <c r="C19" s="166">
        <f>(Gross_wages!C16*C$11)/1000</f>
        <v>516.60685350000006</v>
      </c>
      <c r="D19" s="167">
        <f>(Gross_wages!D16*D$11)/1000</f>
        <v>864.57405824999989</v>
      </c>
      <c r="E19" s="166">
        <f>(Gross_wages!E16*E$11)/1000</f>
        <v>86.716711607142841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1467.8976233571427</v>
      </c>
      <c r="J19" s="169">
        <f t="shared" si="1"/>
        <v>0.75</v>
      </c>
      <c r="K19" s="166">
        <f t="shared" si="2"/>
        <v>1100.923217517857</v>
      </c>
      <c r="L19" s="170">
        <f t="shared" si="3"/>
        <v>29433.487537797857</v>
      </c>
      <c r="M19" s="147"/>
      <c r="N19" s="165" t="s">
        <v>48</v>
      </c>
      <c r="O19" s="171">
        <v>1196598.1000000001</v>
      </c>
      <c r="P19" s="172">
        <v>0</v>
      </c>
      <c r="Q19" s="170">
        <f>IF(Calculation_ITS!L19=0,O19*P19,0)</f>
        <v>0</v>
      </c>
      <c r="R19" s="150"/>
      <c r="S19" s="173">
        <f>Calculation_ITS!L19+Q19</f>
        <v>29433.487537797857</v>
      </c>
    </row>
    <row r="20" spans="1:19" ht="15.75" customHeight="1">
      <c r="A20" s="154" t="s">
        <v>49</v>
      </c>
      <c r="B20" s="155">
        <f>(Gross_wages!B17*B$11)/1000</f>
        <v>42885.580427550005</v>
      </c>
      <c r="C20" s="155">
        <f>(Gross_wages!C17*C$11)/1000</f>
        <v>213.52148684999997</v>
      </c>
      <c r="D20" s="156">
        <f>(Gross_wages!D17*D$11)/1000</f>
        <v>3288.3386509575002</v>
      </c>
      <c r="E20" s="155">
        <f>(Gross_wages!E17*E$11)/1000</f>
        <v>44.147691964285713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3546.0078297717855</v>
      </c>
      <c r="J20" s="158">
        <f t="shared" si="1"/>
        <v>0.75</v>
      </c>
      <c r="K20" s="155">
        <f t="shared" si="2"/>
        <v>2659.5058723288394</v>
      </c>
      <c r="L20" s="159">
        <f t="shared" si="3"/>
        <v>45545.086299878843</v>
      </c>
      <c r="M20" s="147"/>
      <c r="N20" s="154" t="s">
        <v>49</v>
      </c>
      <c r="O20" s="160">
        <v>561553.80000000005</v>
      </c>
      <c r="P20" s="161">
        <v>0</v>
      </c>
      <c r="Q20" s="159">
        <f>IF(Calculation_ITS!L20=0,O20*P20,0)</f>
        <v>0</v>
      </c>
      <c r="R20" s="150"/>
      <c r="S20" s="162">
        <f>Calculation_ITS!L20+Q20</f>
        <v>45545.086299878843</v>
      </c>
    </row>
    <row r="21" spans="1:19" ht="15.75" customHeight="1">
      <c r="A21" s="165" t="s">
        <v>50</v>
      </c>
      <c r="B21" s="166">
        <f>(Gross_wages!B18*B$11)/1000</f>
        <v>249691.86243900002</v>
      </c>
      <c r="C21" s="166">
        <f>(Gross_wages!C18*C$11)/1000</f>
        <v>14396.025377309999</v>
      </c>
      <c r="D21" s="167">
        <f>(Gross_wages!D18*D$11)/1000</f>
        <v>892.51054987499992</v>
      </c>
      <c r="E21" s="166">
        <f>(Gross_wages!E18*E$11)/1000</f>
        <v>705.71796428571417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15994.253891470713</v>
      </c>
      <c r="J21" s="169">
        <f t="shared" si="1"/>
        <v>0.75</v>
      </c>
      <c r="K21" s="166">
        <f t="shared" si="2"/>
        <v>11995.690418603035</v>
      </c>
      <c r="L21" s="170">
        <f t="shared" si="3"/>
        <v>261687.55285760306</v>
      </c>
      <c r="M21" s="147"/>
      <c r="N21" s="165" t="s">
        <v>50</v>
      </c>
      <c r="O21" s="171">
        <v>6718838.2000000002</v>
      </c>
      <c r="P21" s="172">
        <v>0</v>
      </c>
      <c r="Q21" s="170">
        <f>IF(Calculation_ITS!L21=0,O21*P21,0)</f>
        <v>0</v>
      </c>
      <c r="R21" s="150"/>
      <c r="S21" s="173">
        <f>Calculation_ITS!L21+Q21</f>
        <v>261687.55285760306</v>
      </c>
    </row>
    <row r="22" spans="1:19" ht="15.75" customHeight="1">
      <c r="A22" s="154" t="s">
        <v>51</v>
      </c>
      <c r="B22" s="155">
        <f>(Gross_wages!B19*B$11)/1000</f>
        <v>227870.17735499999</v>
      </c>
      <c r="C22" s="155">
        <f>(Gross_wages!C19*C$11)/1000</f>
        <v>0</v>
      </c>
      <c r="D22" s="156">
        <f>(Gross_wages!D19*D$11)/1000</f>
        <v>1114.4392874999999</v>
      </c>
      <c r="E22" s="155">
        <f>(Gross_wages!E19*E$11)/1000</f>
        <v>49.873660714285712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1164.3129482142856</v>
      </c>
      <c r="J22" s="158">
        <f t="shared" si="1"/>
        <v>0.75</v>
      </c>
      <c r="K22" s="155">
        <f t="shared" si="2"/>
        <v>873.23471116071414</v>
      </c>
      <c r="L22" s="159">
        <f t="shared" si="3"/>
        <v>228743.4120661607</v>
      </c>
      <c r="M22" s="147"/>
      <c r="N22" s="154" t="s">
        <v>51</v>
      </c>
      <c r="O22" s="160">
        <v>4570900.4000000004</v>
      </c>
      <c r="P22" s="161">
        <v>0</v>
      </c>
      <c r="Q22" s="159">
        <f>IF(Calculation_ITS!L22=0,O22*P22,0)</f>
        <v>0</v>
      </c>
      <c r="R22" s="150"/>
      <c r="S22" s="162">
        <f>Calculation_ITS!L22+Q22</f>
        <v>228743.4120661607</v>
      </c>
    </row>
    <row r="23" spans="1:19" ht="15.75" customHeight="1">
      <c r="A23" s="165" t="s">
        <v>52</v>
      </c>
      <c r="B23" s="166">
        <f>(Gross_wages!B20*B$11)/1000</f>
        <v>143619.65826684001</v>
      </c>
      <c r="C23" s="166">
        <f>(Gross_wages!C20*C$11)/1000</f>
        <v>5889.69625335</v>
      </c>
      <c r="D23" s="167">
        <f>(Gross_wages!D20*D$11)/1000</f>
        <v>241.4893490625</v>
      </c>
      <c r="E23" s="166">
        <f>(Gross_wages!E20*E$11)/1000</f>
        <v>5820.834857142856</v>
      </c>
      <c r="F23" s="166">
        <f>(Gross_wages!F20*F$11)/1000</f>
        <v>0</v>
      </c>
      <c r="G23" s="166">
        <f>(Gross_wages!G20*G$11)/1000</f>
        <v>13217.747665178571</v>
      </c>
      <c r="H23" s="168">
        <f>(Gross_wages!H20*H$11)/1000</f>
        <v>0</v>
      </c>
      <c r="I23" s="166">
        <f t="shared" si="0"/>
        <v>25169.768124733928</v>
      </c>
      <c r="J23" s="169">
        <f t="shared" si="1"/>
        <v>0.75</v>
      </c>
      <c r="K23" s="166">
        <f t="shared" si="2"/>
        <v>18877.326093550444</v>
      </c>
      <c r="L23" s="170">
        <f t="shared" si="3"/>
        <v>162496.98436039046</v>
      </c>
      <c r="M23" s="147"/>
      <c r="N23" s="165" t="s">
        <v>52</v>
      </c>
      <c r="O23" s="171">
        <v>4458564.3</v>
      </c>
      <c r="P23" s="172">
        <v>0</v>
      </c>
      <c r="Q23" s="170">
        <f>IF(Calculation_ITS!L23=0,O23*P23,0)</f>
        <v>0</v>
      </c>
      <c r="R23" s="150"/>
      <c r="S23" s="173">
        <f>Calculation_ITS!L23+Q23</f>
        <v>162496.98436039046</v>
      </c>
    </row>
    <row r="24" spans="1:19" ht="15.75" customHeight="1">
      <c r="A24" s="154" t="s">
        <v>53</v>
      </c>
      <c r="B24" s="155">
        <f>(Gross_wages!B21*B$11)/1000</f>
        <v>284234.24943867006</v>
      </c>
      <c r="C24" s="155">
        <f>(Gross_wages!C21*C$11)/1000</f>
        <v>57350.979965070001</v>
      </c>
      <c r="D24" s="156">
        <f>(Gross_wages!D21*D$11)/1000</f>
        <v>445.19889290624997</v>
      </c>
      <c r="E24" s="155">
        <f>(Gross_wages!E21*E$11)/1000</f>
        <v>209437.5052607143</v>
      </c>
      <c r="F24" s="155">
        <f>(Gross_wages!F21*F$11)/1000</f>
        <v>0</v>
      </c>
      <c r="G24" s="155">
        <f>(Gross_wages!G21*G$11)/1000</f>
        <v>245516.19077410712</v>
      </c>
      <c r="H24" s="157">
        <f>(Gross_wages!H21*H$11)/1000</f>
        <v>0</v>
      </c>
      <c r="I24" s="155">
        <f t="shared" si="0"/>
        <v>512749.87489279767</v>
      </c>
      <c r="J24" s="158">
        <f t="shared" si="1"/>
        <v>0.75</v>
      </c>
      <c r="K24" s="155">
        <f t="shared" si="2"/>
        <v>384562.40616959822</v>
      </c>
      <c r="L24" s="159">
        <f t="shared" si="3"/>
        <v>668796.65560826822</v>
      </c>
      <c r="M24" s="147"/>
      <c r="N24" s="154" t="s">
        <v>53</v>
      </c>
      <c r="O24" s="160">
        <v>4465168.3</v>
      </c>
      <c r="P24" s="161">
        <v>0</v>
      </c>
      <c r="Q24" s="159">
        <f>IF(Calculation_ITS!L24=0,O24*P24,0)</f>
        <v>0</v>
      </c>
      <c r="R24" s="150"/>
      <c r="S24" s="162">
        <f>Calculation_ITS!L24+Q24</f>
        <v>668796.65560826822</v>
      </c>
    </row>
    <row r="25" spans="1:19" ht="15.75" customHeight="1">
      <c r="A25" s="165" t="s">
        <v>54</v>
      </c>
      <c r="B25" s="166">
        <f>(Gross_wages!B22*B$11)/1000</f>
        <v>148290.80822094</v>
      </c>
      <c r="C25" s="166">
        <f>(Gross_wages!C22*C$11)/1000</f>
        <v>33116.625605580004</v>
      </c>
      <c r="D25" s="167">
        <f>(Gross_wages!D22*D$11)/1000</f>
        <v>447.03623921249999</v>
      </c>
      <c r="E25" s="166">
        <f>(Gross_wages!E22*E$11)/1000</f>
        <v>102070.14379553571</v>
      </c>
      <c r="F25" s="166">
        <f>(Gross_wages!F22*F$11)/1000</f>
        <v>0</v>
      </c>
      <c r="G25" s="166">
        <f>(Gross_wages!G22*G$11)/1000</f>
        <v>153079.78001785715</v>
      </c>
      <c r="H25" s="168">
        <f>(Gross_wages!H22*H$11)/1000</f>
        <v>0</v>
      </c>
      <c r="I25" s="166">
        <f t="shared" si="0"/>
        <v>288713.58565818536</v>
      </c>
      <c r="J25" s="169">
        <f t="shared" si="1"/>
        <v>0.75</v>
      </c>
      <c r="K25" s="166">
        <f t="shared" si="2"/>
        <v>216535.189243639</v>
      </c>
      <c r="L25" s="170">
        <f t="shared" si="3"/>
        <v>364825.99746457901</v>
      </c>
      <c r="M25" s="147"/>
      <c r="N25" s="165" t="s">
        <v>54</v>
      </c>
      <c r="O25" s="171">
        <v>6294538.7000000002</v>
      </c>
      <c r="P25" s="172">
        <v>0</v>
      </c>
      <c r="Q25" s="170">
        <f>IF(Calculation_ITS!L25=0,O25*P25,0)</f>
        <v>0</v>
      </c>
      <c r="R25" s="150"/>
      <c r="S25" s="173">
        <f>Calculation_ITS!L25+Q25</f>
        <v>364825.99746457901</v>
      </c>
    </row>
    <row r="26" spans="1:19" ht="15.75" customHeight="1">
      <c r="A26" s="154" t="s">
        <v>55</v>
      </c>
      <c r="B26" s="155">
        <f>(Gross_wages!B23*B$11)/1000</f>
        <v>114578.78528189998</v>
      </c>
      <c r="C26" s="155">
        <f>(Gross_wages!C23*C$11)/1000</f>
        <v>8374.5141119999989</v>
      </c>
      <c r="D26" s="156">
        <f>(Gross_wages!D23*D$11)/1000</f>
        <v>182.53769769375</v>
      </c>
      <c r="E26" s="155">
        <f>(Gross_wages!E23*E$11)/1000</f>
        <v>54195.439853571421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62752.491663265173</v>
      </c>
      <c r="J26" s="158">
        <f t="shared" si="1"/>
        <v>0.75</v>
      </c>
      <c r="K26" s="155">
        <f t="shared" si="2"/>
        <v>47064.368747448883</v>
      </c>
      <c r="L26" s="159">
        <f t="shared" si="3"/>
        <v>161643.15402934887</v>
      </c>
      <c r="M26" s="147"/>
      <c r="N26" s="154" t="s">
        <v>55</v>
      </c>
      <c r="O26" s="160">
        <v>1237632.3</v>
      </c>
      <c r="P26" s="161">
        <v>0</v>
      </c>
      <c r="Q26" s="159">
        <f>IF(Calculation_ITS!L26=0,O26*P26,0)</f>
        <v>0</v>
      </c>
      <c r="R26" s="150"/>
      <c r="S26" s="162">
        <f>Calculation_ITS!L26+Q26</f>
        <v>161643.15402934887</v>
      </c>
    </row>
    <row r="27" spans="1:19" ht="15.75" customHeight="1">
      <c r="A27" s="165" t="s">
        <v>56</v>
      </c>
      <c r="B27" s="166">
        <f>(Gross_wages!B24*B$11)/1000</f>
        <v>37251.092376000001</v>
      </c>
      <c r="C27" s="166">
        <f>(Gross_wages!C24*C$11)/1000</f>
        <v>1965.9801929999999</v>
      </c>
      <c r="D27" s="167">
        <f>(Gross_wages!D24*D$11)/1000</f>
        <v>4280.0299368749993</v>
      </c>
      <c r="E27" s="166">
        <f>(Gross_wages!E24*E$11)/1000</f>
        <v>637.46983928571422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6883.4799691607141</v>
      </c>
      <c r="J27" s="169">
        <f t="shared" si="1"/>
        <v>0.75</v>
      </c>
      <c r="K27" s="166">
        <f t="shared" si="2"/>
        <v>5162.6099768705353</v>
      </c>
      <c r="L27" s="170">
        <f t="shared" si="3"/>
        <v>42413.702352870532</v>
      </c>
      <c r="M27" s="147"/>
      <c r="N27" s="165" t="s">
        <v>56</v>
      </c>
      <c r="O27" s="171">
        <v>910568.8</v>
      </c>
      <c r="P27" s="172">
        <v>0</v>
      </c>
      <c r="Q27" s="170">
        <f>IF(Calculation_ITS!L27=0,O27*P27,0)</f>
        <v>0</v>
      </c>
      <c r="R27" s="150"/>
      <c r="S27" s="173">
        <f>Calculation_ITS!L27+Q27</f>
        <v>42413.702352870532</v>
      </c>
    </row>
    <row r="28" spans="1:19" ht="15.75" customHeight="1">
      <c r="A28" s="154" t="s">
        <v>57</v>
      </c>
      <c r="B28" s="155">
        <f>(Gross_wages!B25*B$11)/1000</f>
        <v>6847.4250440100004</v>
      </c>
      <c r="C28" s="155">
        <f>(Gross_wages!C25*C$11)/1000</f>
        <v>650.42467958999998</v>
      </c>
      <c r="D28" s="156">
        <f>(Gross_wages!D25*D$11)/1000</f>
        <v>1251.4540722075001</v>
      </c>
      <c r="E28" s="155">
        <f>(Gross_wages!E25*E$11)/1000</f>
        <v>102.48430499999999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2004.3630567975001</v>
      </c>
      <c r="J28" s="158">
        <f t="shared" si="1"/>
        <v>0.75</v>
      </c>
      <c r="K28" s="155">
        <f t="shared" si="2"/>
        <v>1503.2722925981252</v>
      </c>
      <c r="L28" s="159">
        <f t="shared" si="3"/>
        <v>8350.6973366081256</v>
      </c>
      <c r="M28" s="147"/>
      <c r="N28" s="154" t="s">
        <v>57</v>
      </c>
      <c r="O28" s="160">
        <v>277451.40000000002</v>
      </c>
      <c r="P28" s="161">
        <v>0</v>
      </c>
      <c r="Q28" s="159">
        <f>IF(Calculation_ITS!L28=0,O28*P28,0)</f>
        <v>0</v>
      </c>
      <c r="R28" s="150"/>
      <c r="S28" s="162">
        <f>Calculation_ITS!L28+Q28</f>
        <v>8350.6973366081256</v>
      </c>
    </row>
    <row r="29" spans="1:19" ht="15.75" customHeight="1">
      <c r="A29" s="165" t="s">
        <v>58</v>
      </c>
      <c r="B29" s="166">
        <f>(Gross_wages!B26*B$11)/1000</f>
        <v>351615.33232799999</v>
      </c>
      <c r="C29" s="166">
        <f>(Gross_wages!C26*C$11)/1000</f>
        <v>24697.417458</v>
      </c>
      <c r="D29" s="167">
        <f>(Gross_wages!D26*D$11)/1000</f>
        <v>154146.72293212501</v>
      </c>
      <c r="E29" s="166">
        <f>(Gross_wages!E26*E$11)/1000</f>
        <v>11312.379160714285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190156.51955083929</v>
      </c>
      <c r="J29" s="169">
        <f t="shared" si="1"/>
        <v>0.75</v>
      </c>
      <c r="K29" s="166">
        <f t="shared" si="2"/>
        <v>142617.38966312946</v>
      </c>
      <c r="L29" s="170">
        <f t="shared" si="3"/>
        <v>494232.72199112945</v>
      </c>
      <c r="M29" s="147"/>
      <c r="N29" s="165" t="s">
        <v>58</v>
      </c>
      <c r="O29" s="171">
        <v>7470497.7000000002</v>
      </c>
      <c r="P29" s="172">
        <v>0</v>
      </c>
      <c r="Q29" s="170">
        <f>IF(Calculation_ITS!L29=0,O29*P29,0)</f>
        <v>0</v>
      </c>
      <c r="R29" s="150"/>
      <c r="S29" s="173">
        <f>Calculation_ITS!L29+Q29</f>
        <v>494232.72199112945</v>
      </c>
    </row>
    <row r="30" spans="1:19" ht="15.75" customHeight="1">
      <c r="A30" s="154" t="s">
        <v>59</v>
      </c>
      <c r="B30" s="155">
        <f>(Gross_wages!B27*B$11)/1000</f>
        <v>309172.40667299996</v>
      </c>
      <c r="C30" s="155">
        <f>(Gross_wages!C27*C$11)/1000</f>
        <v>76746.226364999995</v>
      </c>
      <c r="D30" s="156">
        <f>(Gross_wages!D27*D$11)/1000</f>
        <v>5505.2120654999999</v>
      </c>
      <c r="E30" s="155">
        <f>(Gross_wages!E27*E$11)/1000</f>
        <v>0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13206.7964718</v>
      </c>
      <c r="I30" s="155">
        <f t="shared" si="0"/>
        <v>95458.234902299999</v>
      </c>
      <c r="J30" s="158">
        <f t="shared" si="1"/>
        <v>0.75</v>
      </c>
      <c r="K30" s="155">
        <f t="shared" si="2"/>
        <v>71593.676176724999</v>
      </c>
      <c r="L30" s="159">
        <f t="shared" si="3"/>
        <v>380766.08284972497</v>
      </c>
      <c r="M30" s="147"/>
      <c r="N30" s="154" t="s">
        <v>59</v>
      </c>
      <c r="O30" s="160">
        <v>3268764.8</v>
      </c>
      <c r="P30" s="161">
        <v>0</v>
      </c>
      <c r="Q30" s="159">
        <f>IF(Calculation_ITS!L30=0,O30*P30,0)</f>
        <v>0</v>
      </c>
      <c r="R30" s="150"/>
      <c r="S30" s="162">
        <f>Calculation_ITS!L30+Q30</f>
        <v>380766.08284972497</v>
      </c>
    </row>
    <row r="31" spans="1:19" ht="15.75" customHeight="1">
      <c r="A31" s="165" t="s">
        <v>60</v>
      </c>
      <c r="B31" s="166">
        <f>(Gross_wages!B28*B$11)/1000</f>
        <v>407956.64725500002</v>
      </c>
      <c r="C31" s="166">
        <f>(Gross_wages!C28*C$11)/1000</f>
        <v>92404.791993449995</v>
      </c>
      <c r="D31" s="167">
        <f>(Gross_wages!D28*D$11)/1000</f>
        <v>766.31377724999993</v>
      </c>
      <c r="E31" s="166">
        <f>(Gross_wages!E28*E$11)/1000</f>
        <v>128013.49539642855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221184.60116712854</v>
      </c>
      <c r="J31" s="169">
        <f t="shared" si="1"/>
        <v>0.75</v>
      </c>
      <c r="K31" s="166">
        <f t="shared" si="2"/>
        <v>165888.4508753464</v>
      </c>
      <c r="L31" s="170">
        <f t="shared" si="3"/>
        <v>573845.09813034639</v>
      </c>
      <c r="M31" s="147"/>
      <c r="N31" s="165" t="s">
        <v>60</v>
      </c>
      <c r="O31" s="171">
        <v>11600601</v>
      </c>
      <c r="P31" s="172">
        <v>0</v>
      </c>
      <c r="Q31" s="170">
        <f>IF(Calculation_ITS!L31=0,O31*P31,0)</f>
        <v>0</v>
      </c>
      <c r="R31" s="150"/>
      <c r="S31" s="173">
        <f>Calculation_ITS!L31+Q31</f>
        <v>573845.09813034639</v>
      </c>
    </row>
    <row r="32" spans="1:19" ht="15.75" customHeight="1">
      <c r="A32" s="154" t="s">
        <v>61</v>
      </c>
      <c r="B32" s="155">
        <f>(Gross_wages!B29*B$11)/1000</f>
        <v>225863.95340453999</v>
      </c>
      <c r="C32" s="155">
        <f>(Gross_wages!C29*C$11)/1000</f>
        <v>17495.280880589999</v>
      </c>
      <c r="D32" s="156">
        <f>(Gross_wages!D29*D$11)/1000</f>
        <v>5117.6992691212499</v>
      </c>
      <c r="E32" s="155">
        <f>(Gross_wages!E29*E$11)/1000</f>
        <v>41453.430377142853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64066.410526854102</v>
      </c>
      <c r="J32" s="158">
        <f t="shared" si="1"/>
        <v>0.75</v>
      </c>
      <c r="K32" s="155">
        <f t="shared" si="2"/>
        <v>48049.807895140577</v>
      </c>
      <c r="L32" s="159">
        <f t="shared" si="3"/>
        <v>273913.76129968057</v>
      </c>
      <c r="M32" s="147"/>
      <c r="N32" s="154" t="s">
        <v>61</v>
      </c>
      <c r="O32" s="160">
        <v>4138551.2</v>
      </c>
      <c r="P32" s="161">
        <v>0</v>
      </c>
      <c r="Q32" s="159">
        <f>IF(Calculation_ITS!L32=0,O32*P32,0)</f>
        <v>0</v>
      </c>
      <c r="R32" s="150"/>
      <c r="S32" s="162">
        <f>Calculation_ITS!L32+Q32</f>
        <v>273913.76129968057</v>
      </c>
    </row>
    <row r="33" spans="1:19" ht="15.75" customHeight="1">
      <c r="A33" s="165" t="s">
        <v>62</v>
      </c>
      <c r="B33" s="166">
        <f>(Gross_wages!B30*B$11)/1000</f>
        <v>318798.775914</v>
      </c>
      <c r="C33" s="166">
        <f>(Gross_wages!C30*C$11)/1000</f>
        <v>170302.428762</v>
      </c>
      <c r="D33" s="167">
        <f>(Gross_wages!D30*D$11)/1000</f>
        <v>4506.4749056249993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586234.35562140006</v>
      </c>
      <c r="I33" s="166">
        <f t="shared" si="0"/>
        <v>761043.2592890251</v>
      </c>
      <c r="J33" s="169">
        <f t="shared" si="1"/>
        <v>0.75</v>
      </c>
      <c r="K33" s="166">
        <f t="shared" si="2"/>
        <v>570782.44446676876</v>
      </c>
      <c r="L33" s="170">
        <f t="shared" si="3"/>
        <v>889581.22038076876</v>
      </c>
      <c r="M33" s="147"/>
      <c r="N33" s="165" t="s">
        <v>62</v>
      </c>
      <c r="O33" s="171">
        <v>6188314.0999999996</v>
      </c>
      <c r="P33" s="172">
        <v>0</v>
      </c>
      <c r="Q33" s="170">
        <f>IF(Calculation_ITS!L33=0,O33*P33,0)</f>
        <v>0</v>
      </c>
      <c r="R33" s="150"/>
      <c r="S33" s="173">
        <f>Calculation_ITS!L33+Q33</f>
        <v>889581.22038076876</v>
      </c>
    </row>
    <row r="34" spans="1:19" ht="15.75" customHeight="1">
      <c r="A34" s="154" t="s">
        <v>63</v>
      </c>
      <c r="B34" s="155">
        <f>(Gross_wages!B31*B$11)/1000</f>
        <v>1039322.8236870001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281352.86550000001</v>
      </c>
      <c r="H34" s="157">
        <f>(Gross_wages!H31*H$11)/1000</f>
        <v>0</v>
      </c>
      <c r="I34" s="155">
        <f t="shared" si="0"/>
        <v>281352.86550000001</v>
      </c>
      <c r="J34" s="158">
        <f t="shared" si="1"/>
        <v>0.75</v>
      </c>
      <c r="K34" s="155">
        <f t="shared" si="2"/>
        <v>211014.649125</v>
      </c>
      <c r="L34" s="159">
        <f t="shared" si="3"/>
        <v>1250337.4728120002</v>
      </c>
      <c r="M34" s="147"/>
      <c r="N34" s="154" t="s">
        <v>63</v>
      </c>
      <c r="O34" s="160">
        <v>15287259.9</v>
      </c>
      <c r="P34" s="161">
        <v>0</v>
      </c>
      <c r="Q34" s="159">
        <f>IF(Calculation_ITS!L34=0,O34*P34,0)</f>
        <v>0</v>
      </c>
      <c r="R34" s="150"/>
      <c r="S34" s="162">
        <f>Calculation_ITS!L34+Q34</f>
        <v>1250337.4728120002</v>
      </c>
    </row>
    <row r="35" spans="1:19" ht="15.75" customHeight="1">
      <c r="A35" s="165" t="s">
        <v>64</v>
      </c>
      <c r="B35" s="166">
        <f>(Gross_wages!B32*B$11)/1000</f>
        <v>386318.93792699999</v>
      </c>
      <c r="C35" s="166">
        <f>(Gross_wages!C32*C$11)/1000</f>
        <v>3391.5316979999998</v>
      </c>
      <c r="D35" s="167">
        <f>(Gross_wages!D32*D$11)/1000</f>
        <v>0</v>
      </c>
      <c r="E35" s="166">
        <f>(Gross_wages!E32*E$11)/1000</f>
        <v>43.643410714285707</v>
      </c>
      <c r="F35" s="166">
        <f>(Gross_wages!F32*F$11)/1000</f>
        <v>0</v>
      </c>
      <c r="G35" s="166">
        <f>(Gross_wages!G32*G$11)/1000</f>
        <v>13378.954660714284</v>
      </c>
      <c r="H35" s="168">
        <f>(Gross_wages!H32*H$11)/1000</f>
        <v>12471.5768094</v>
      </c>
      <c r="I35" s="166">
        <f t="shared" si="0"/>
        <v>29285.706578828569</v>
      </c>
      <c r="J35" s="169">
        <f t="shared" si="1"/>
        <v>0.75</v>
      </c>
      <c r="K35" s="166">
        <f t="shared" si="2"/>
        <v>21964.279934121427</v>
      </c>
      <c r="L35" s="170">
        <f t="shared" si="3"/>
        <v>408283.2178611214</v>
      </c>
      <c r="M35" s="147"/>
      <c r="N35" s="165" t="s">
        <v>64</v>
      </c>
      <c r="O35" s="171">
        <v>4599922.8</v>
      </c>
      <c r="P35" s="172">
        <v>0</v>
      </c>
      <c r="Q35" s="170">
        <f>IF(Calculation_ITS!L35=0,O35*P35,0)</f>
        <v>0</v>
      </c>
      <c r="R35" s="150"/>
      <c r="S35" s="173">
        <f>Calculation_ITS!L35+Q35</f>
        <v>408283.2178611214</v>
      </c>
    </row>
    <row r="36" spans="1:19" ht="15.75" customHeight="1">
      <c r="A36" s="154" t="s">
        <v>65</v>
      </c>
      <c r="B36" s="155">
        <f>(Gross_wages!B33*B$11)/1000</f>
        <v>128778.656082</v>
      </c>
      <c r="C36" s="155">
        <f>(Gross_wages!C33*C$11)/1000</f>
        <v>6236.7916919999998</v>
      </c>
      <c r="D36" s="156">
        <f>(Gross_wages!D33*D$11)/1000</f>
        <v>12.411551249999999</v>
      </c>
      <c r="E36" s="155">
        <f>(Gross_wages!E33*E$11)/1000</f>
        <v>11.492517857142857</v>
      </c>
      <c r="F36" s="155">
        <f>(Gross_wages!F33*F$11)/1000</f>
        <v>0</v>
      </c>
      <c r="G36" s="155">
        <f>(Gross_wages!G33*G$11)/1000</f>
        <v>131858.10996428572</v>
      </c>
      <c r="H36" s="157">
        <f>(Gross_wages!H33*H$11)/1000</f>
        <v>0</v>
      </c>
      <c r="I36" s="155">
        <f t="shared" si="0"/>
        <v>138118.80572539286</v>
      </c>
      <c r="J36" s="158">
        <f t="shared" si="1"/>
        <v>0.75</v>
      </c>
      <c r="K36" s="155">
        <f t="shared" si="2"/>
        <v>103589.10429404464</v>
      </c>
      <c r="L36" s="159">
        <f t="shared" si="3"/>
        <v>232367.76037604464</v>
      </c>
      <c r="M36" s="147"/>
      <c r="N36" s="154" t="s">
        <v>65</v>
      </c>
      <c r="O36" s="160">
        <v>2693122.2</v>
      </c>
      <c r="P36" s="161">
        <v>0</v>
      </c>
      <c r="Q36" s="159">
        <f>IF(Calculation_ITS!L36=0,O36*P36,0)</f>
        <v>0</v>
      </c>
      <c r="R36" s="150"/>
      <c r="S36" s="162">
        <f>Calculation_ITS!L36+Q36</f>
        <v>232367.76037604464</v>
      </c>
    </row>
    <row r="37" spans="1:19" ht="15.75" customHeight="1">
      <c r="A37" s="165" t="s">
        <v>66</v>
      </c>
      <c r="B37" s="166">
        <f>(Gross_wages!B34*B$11)/1000</f>
        <v>1015556.256285</v>
      </c>
      <c r="C37" s="166">
        <f>(Gross_wages!C34*C$11)/1000</f>
        <v>130425.709176</v>
      </c>
      <c r="D37" s="167">
        <f>(Gross_wages!D34*D$11)/1000</f>
        <v>449.67720262499995</v>
      </c>
      <c r="E37" s="166">
        <f>(Gross_wages!E34*E$11)/1000</f>
        <v>0</v>
      </c>
      <c r="F37" s="166">
        <f>(Gross_wages!F34*F$11)/1000</f>
        <v>1873681.549568</v>
      </c>
      <c r="G37" s="166">
        <f>(Gross_wages!G34*G$11)/1000</f>
        <v>0</v>
      </c>
      <c r="H37" s="168">
        <f>(Gross_wages!H34*H$11)/1000</f>
        <v>0</v>
      </c>
      <c r="I37" s="166">
        <f t="shared" si="0"/>
        <v>2004556.935946625</v>
      </c>
      <c r="J37" s="169">
        <f t="shared" si="1"/>
        <v>0.75</v>
      </c>
      <c r="K37" s="166">
        <f t="shared" si="2"/>
        <v>1503417.7019599688</v>
      </c>
      <c r="L37" s="170">
        <f t="shared" si="3"/>
        <v>2518973.9582449687</v>
      </c>
      <c r="M37" s="147"/>
      <c r="N37" s="165" t="s">
        <v>66</v>
      </c>
      <c r="O37" s="171">
        <v>11897753.5</v>
      </c>
      <c r="P37" s="172">
        <v>0</v>
      </c>
      <c r="Q37" s="170">
        <f>IF(Calculation_ITS!L37=0,O37*P37,0)</f>
        <v>0</v>
      </c>
      <c r="R37" s="150"/>
      <c r="S37" s="173">
        <f>Calculation_ITS!L37+Q37</f>
        <v>2518973.9582449687</v>
      </c>
    </row>
    <row r="38" spans="1:19" ht="15.75" customHeight="1">
      <c r="A38" s="174" t="s">
        <v>67</v>
      </c>
      <c r="B38" s="175">
        <f>(Gross_wages!B35*B$11)/1000</f>
        <v>28256.090427000003</v>
      </c>
      <c r="C38" s="175">
        <f>(Gross_wages!C35*C$11)/1000</f>
        <v>2410.2872330099999</v>
      </c>
      <c r="D38" s="176">
        <f>(Gross_wages!D35*D$11)/1000</f>
        <v>0</v>
      </c>
      <c r="E38" s="175">
        <f>(Gross_wages!E35*E$11)/1000</f>
        <v>74.162732142857124</v>
      </c>
      <c r="F38" s="175">
        <f>(Gross_wages!F35*F$11)/1000</f>
        <v>0</v>
      </c>
      <c r="G38" s="175">
        <f>(Gross_wages!G35*G$11)/1000</f>
        <v>68012.753946428566</v>
      </c>
      <c r="H38" s="177">
        <f>(Gross_wages!H35*H$11)/1000</f>
        <v>0</v>
      </c>
      <c r="I38" s="175">
        <f t="shared" si="0"/>
        <v>70497.203911581426</v>
      </c>
      <c r="J38" s="178">
        <f t="shared" si="1"/>
        <v>0.75</v>
      </c>
      <c r="K38" s="175">
        <f t="shared" si="2"/>
        <v>52872.902933686069</v>
      </c>
      <c r="L38" s="179">
        <f t="shared" si="3"/>
        <v>81128.993360686072</v>
      </c>
      <c r="M38" s="147"/>
      <c r="N38" s="174" t="s">
        <v>67</v>
      </c>
      <c r="O38" s="180">
        <v>894268.8</v>
      </c>
      <c r="P38" s="181">
        <v>0</v>
      </c>
      <c r="Q38" s="179">
        <f>IF(Calculation_ITS!L38=0,O38*P38,0)</f>
        <v>0</v>
      </c>
      <c r="R38" s="150"/>
      <c r="S38" s="182">
        <f>Calculation_ITS!L38+Q38</f>
        <v>81128.993360686072</v>
      </c>
    </row>
    <row r="39" spans="1:19" ht="15.75" customHeight="1">
      <c r="A39" s="183" t="s">
        <v>68</v>
      </c>
      <c r="B39" s="184">
        <f t="shared" ref="B39:I39" si="4">SUM(B13:B38)</f>
        <v>8408341.5755082592</v>
      </c>
      <c r="C39" s="184">
        <f t="shared" si="4"/>
        <v>747070.76578562998</v>
      </c>
      <c r="D39" s="185">
        <f t="shared" si="4"/>
        <v>185138.85563785498</v>
      </c>
      <c r="E39" s="184">
        <f t="shared" si="4"/>
        <v>636392.3923092857</v>
      </c>
      <c r="F39" s="184">
        <f t="shared" si="4"/>
        <v>1873681.549568</v>
      </c>
      <c r="G39" s="184">
        <f t="shared" si="4"/>
        <v>925615.49029553565</v>
      </c>
      <c r="H39" s="186">
        <f t="shared" si="4"/>
        <v>611912.72890260001</v>
      </c>
      <c r="I39" s="184">
        <f t="shared" si="4"/>
        <v>4979811.7824989054</v>
      </c>
      <c r="J39" s="187">
        <v>0.75</v>
      </c>
      <c r="K39" s="184">
        <f t="shared" si="2"/>
        <v>3734858.8368741791</v>
      </c>
      <c r="L39" s="188">
        <f t="shared" si="3"/>
        <v>12143200.412382439</v>
      </c>
      <c r="M39" s="147"/>
      <c r="N39" s="183" t="s">
        <v>68</v>
      </c>
      <c r="O39" s="189">
        <f>SUM(O13:O38)</f>
        <v>164431392.30000001</v>
      </c>
      <c r="P39" s="190"/>
      <c r="Q39" s="188">
        <f>SUM(Q13:Q38)</f>
        <v>0</v>
      </c>
      <c r="R39" s="150"/>
      <c r="S39" s="191">
        <f>SUM(S13:S38)</f>
        <v>12143200.412382441</v>
      </c>
    </row>
  </sheetData>
  <mergeCells count="15">
    <mergeCell ref="D9:H9"/>
    <mergeCell ref="C9:C10"/>
    <mergeCell ref="B9:B10"/>
    <mergeCell ref="A4:L4"/>
    <mergeCell ref="I9:I10"/>
    <mergeCell ref="Q8:Q10"/>
    <mergeCell ref="N4:Q4"/>
    <mergeCell ref="S8:S10"/>
    <mergeCell ref="U11:V11"/>
    <mergeCell ref="U10:V10"/>
    <mergeCell ref="L9:L10"/>
    <mergeCell ref="K9:K10"/>
    <mergeCell ref="J9:J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2012-01-04T09:25:45Z</cp:lastPrinted>
  <dcterms:created xsi:type="dcterms:W3CDTF">2006-06-26T16:01:42Z</dcterms:created>
  <dcterms:modified xsi:type="dcterms:W3CDTF">2014-06-25T13:02:50Z</dcterms:modified>
</cp:coreProperties>
</file>