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A2" i="2"/>
  <c r="A2" i="3" s="1"/>
  <c r="E13" i="4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<sst xmlns="http://schemas.openxmlformats.org/spreadsheetml/2006/main" count="212" uniqueCount="103">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</sst>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4" spans="1:5" ht="18" customHeight="1">
      <c r="A4" s="192" t="str">
        <f>"Assessment year "&amp;C31</f>
        <v>Assessment year 2009</v>
      </c>
      <c r="B4" s="192"/>
      <c r="C4" s="192"/>
      <c r="D4" s="192"/>
      <c r="E4" s="192"/>
    </row>
    <row r="5" spans="1:5" ht="18" customHeight="1">
      <c r="A5" s="192" t="str">
        <f>"Reference year "&amp;C30</f>
        <v>Reference year 2013</v>
      </c>
      <c r="B5" s="192"/>
      <c r="C5" s="192"/>
      <c r="D5" s="192"/>
      <c r="E5" s="192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2013</v>
      </c>
    </row>
    <row r="31" spans="2:3">
      <c r="B31" s="7" t="s">
        <v>11</v>
      </c>
      <c r="C31" s="8">
        <v>2009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2009</v>
      </c>
      <c r="B1" s="10"/>
      <c r="C1" s="10"/>
      <c r="I1" s="11"/>
    </row>
    <row r="2" spans="1:9" ht="31.5" customHeight="1">
      <c r="A2" s="12" t="str">
        <f>Info!A5</f>
        <v>Reference year 2013</v>
      </c>
      <c r="B2" s="13"/>
      <c r="C2" s="13"/>
      <c r="D2" s="14"/>
      <c r="I2" s="15" t="str">
        <f>Info!C28</f>
        <v>FA_2013_20120910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4148906655.2800002</v>
      </c>
      <c r="C10" s="48">
        <v>59944997.649999999</v>
      </c>
      <c r="D10" s="49">
        <v>0</v>
      </c>
      <c r="E10" s="48">
        <v>440919954.75</v>
      </c>
      <c r="F10" s="48">
        <v>0</v>
      </c>
      <c r="G10" s="48">
        <v>0</v>
      </c>
      <c r="H10" s="50">
        <v>0</v>
      </c>
      <c r="I10" s="51">
        <f t="shared" ref="I10:I36" si="0">SUM(B10:H10)</f>
        <v>4649771607.6800003</v>
      </c>
    </row>
    <row r="11" spans="1:9">
      <c r="A11" s="52" t="s">
        <v>43</v>
      </c>
      <c r="B11" s="53">
        <v>1461329811</v>
      </c>
      <c r="C11" s="53">
        <v>63721889</v>
      </c>
      <c r="D11" s="54">
        <v>1406265</v>
      </c>
      <c r="E11" s="53">
        <v>11661952</v>
      </c>
      <c r="F11" s="53">
        <v>0</v>
      </c>
      <c r="G11" s="53">
        <v>100490075</v>
      </c>
      <c r="H11" s="55">
        <v>0</v>
      </c>
      <c r="I11" s="56">
        <f t="shared" si="0"/>
        <v>1638609992</v>
      </c>
    </row>
    <row r="12" spans="1:9">
      <c r="A12" s="57" t="s">
        <v>44</v>
      </c>
      <c r="B12" s="58">
        <v>627890762</v>
      </c>
      <c r="C12" s="58">
        <v>938404</v>
      </c>
      <c r="D12" s="59">
        <v>0</v>
      </c>
      <c r="E12" s="58">
        <v>4393812</v>
      </c>
      <c r="F12" s="58">
        <v>0</v>
      </c>
      <c r="G12" s="58">
        <v>0</v>
      </c>
      <c r="H12" s="60">
        <v>0</v>
      </c>
      <c r="I12" s="61">
        <f t="shared" si="0"/>
        <v>633222978</v>
      </c>
    </row>
    <row r="13" spans="1:9">
      <c r="A13" s="52" t="s">
        <v>45</v>
      </c>
      <c r="B13" s="53">
        <v>76028754</v>
      </c>
      <c r="C13" s="53">
        <v>0</v>
      </c>
      <c r="D13" s="54">
        <v>9126285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85155039</v>
      </c>
    </row>
    <row r="14" spans="1:9">
      <c r="A14" s="57" t="s">
        <v>46</v>
      </c>
      <c r="B14" s="58">
        <v>216789587</v>
      </c>
      <c r="C14" s="58">
        <v>76690101</v>
      </c>
      <c r="D14" s="59">
        <v>5133694</v>
      </c>
      <c r="E14" s="58">
        <v>1488476</v>
      </c>
      <c r="F14" s="58">
        <v>0</v>
      </c>
      <c r="G14" s="58">
        <v>0</v>
      </c>
      <c r="H14" s="60">
        <v>0</v>
      </c>
      <c r="I14" s="61">
        <f t="shared" si="0"/>
        <v>300101858</v>
      </c>
    </row>
    <row r="15" spans="1:9">
      <c r="A15" s="52" t="s">
        <v>47</v>
      </c>
      <c r="B15" s="53">
        <v>66495916.399999999</v>
      </c>
      <c r="C15" s="53">
        <v>1419553.83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67915470.230000004</v>
      </c>
    </row>
    <row r="16" spans="1:9">
      <c r="A16" s="57" t="s">
        <v>48</v>
      </c>
      <c r="B16" s="58">
        <v>57488983.030000001</v>
      </c>
      <c r="C16" s="58">
        <v>611758.85</v>
      </c>
      <c r="D16" s="59">
        <v>2664436.2000000002</v>
      </c>
      <c r="E16" s="58">
        <v>83089.95</v>
      </c>
      <c r="F16" s="58">
        <v>0</v>
      </c>
      <c r="G16" s="58">
        <v>0</v>
      </c>
      <c r="H16" s="60">
        <v>0</v>
      </c>
      <c r="I16" s="61">
        <f t="shared" si="0"/>
        <v>60848268.030000009</v>
      </c>
    </row>
    <row r="17" spans="1:9">
      <c r="A17" s="52" t="s">
        <v>49</v>
      </c>
      <c r="B17" s="53">
        <v>67752772</v>
      </c>
      <c r="C17" s="53">
        <v>261016</v>
      </c>
      <c r="D17" s="54">
        <v>621400</v>
      </c>
      <c r="E17" s="53">
        <v>88582</v>
      </c>
      <c r="F17" s="53">
        <v>0</v>
      </c>
      <c r="G17" s="53">
        <v>0</v>
      </c>
      <c r="H17" s="55">
        <v>0</v>
      </c>
      <c r="I17" s="56">
        <f t="shared" si="0"/>
        <v>68723770</v>
      </c>
    </row>
    <row r="18" spans="1:9">
      <c r="A18" s="57" t="s">
        <v>50</v>
      </c>
      <c r="B18" s="58">
        <v>495433389</v>
      </c>
      <c r="C18" s="58">
        <v>19909593</v>
      </c>
      <c r="D18" s="59">
        <v>6340335.6299999999</v>
      </c>
      <c r="E18" s="58">
        <v>4387387</v>
      </c>
      <c r="F18" s="58">
        <v>0</v>
      </c>
      <c r="G18" s="58">
        <v>0</v>
      </c>
      <c r="H18" s="60">
        <v>0</v>
      </c>
      <c r="I18" s="61">
        <f t="shared" si="0"/>
        <v>526070704.63</v>
      </c>
    </row>
    <row r="19" spans="1:9">
      <c r="A19" s="52" t="s">
        <v>51</v>
      </c>
      <c r="B19" s="53">
        <v>474029410</v>
      </c>
      <c r="C19" s="53">
        <v>0</v>
      </c>
      <c r="D19" s="54">
        <v>3338470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477367880</v>
      </c>
    </row>
    <row r="20" spans="1:9">
      <c r="A20" s="57" t="s">
        <v>52</v>
      </c>
      <c r="B20" s="58">
        <v>357075871</v>
      </c>
      <c r="C20" s="58">
        <v>12544844</v>
      </c>
      <c r="D20" s="59">
        <v>906451</v>
      </c>
      <c r="E20" s="58">
        <v>32135092</v>
      </c>
      <c r="F20" s="58">
        <v>0</v>
      </c>
      <c r="G20" s="58">
        <v>79634919</v>
      </c>
      <c r="H20" s="60">
        <v>0</v>
      </c>
      <c r="I20" s="61">
        <f t="shared" si="0"/>
        <v>482297177</v>
      </c>
    </row>
    <row r="21" spans="1:9">
      <c r="A21" s="52" t="s">
        <v>53</v>
      </c>
      <c r="B21" s="53">
        <v>649797906</v>
      </c>
      <c r="C21" s="53">
        <v>140298852</v>
      </c>
      <c r="D21" s="54">
        <v>803209</v>
      </c>
      <c r="E21" s="53">
        <v>1224628389</v>
      </c>
      <c r="F21" s="53">
        <v>0</v>
      </c>
      <c r="G21" s="53">
        <v>1735672911</v>
      </c>
      <c r="H21" s="55">
        <v>0</v>
      </c>
      <c r="I21" s="56">
        <f t="shared" si="0"/>
        <v>3751201267</v>
      </c>
    </row>
    <row r="22" spans="1:9">
      <c r="A22" s="57" t="s">
        <v>54</v>
      </c>
      <c r="B22" s="58">
        <v>374510501</v>
      </c>
      <c r="C22" s="58">
        <v>72573961</v>
      </c>
      <c r="D22" s="59">
        <v>988777</v>
      </c>
      <c r="E22" s="58">
        <v>589665047</v>
      </c>
      <c r="F22" s="58">
        <v>0</v>
      </c>
      <c r="G22" s="58">
        <v>931654219</v>
      </c>
      <c r="H22" s="60">
        <v>0</v>
      </c>
      <c r="I22" s="61">
        <f t="shared" si="0"/>
        <v>1969392505</v>
      </c>
    </row>
    <row r="23" spans="1:9">
      <c r="A23" s="52" t="s">
        <v>55</v>
      </c>
      <c r="B23" s="53">
        <v>251489648.34999999</v>
      </c>
      <c r="C23" s="53">
        <v>17246856.75</v>
      </c>
      <c r="D23" s="54">
        <v>223219.75</v>
      </c>
      <c r="E23" s="53">
        <v>317312778.05000001</v>
      </c>
      <c r="F23" s="53">
        <v>0</v>
      </c>
      <c r="G23" s="53">
        <v>0</v>
      </c>
      <c r="H23" s="55">
        <v>0</v>
      </c>
      <c r="I23" s="56">
        <f t="shared" si="0"/>
        <v>586272502.9000001</v>
      </c>
    </row>
    <row r="24" spans="1:9">
      <c r="A24" s="57" t="s">
        <v>56</v>
      </c>
      <c r="B24" s="58">
        <v>92361097</v>
      </c>
      <c r="C24" s="58">
        <v>2364796</v>
      </c>
      <c r="D24" s="59">
        <v>11681006</v>
      </c>
      <c r="E24" s="58">
        <v>3667493</v>
      </c>
      <c r="F24" s="58">
        <v>0</v>
      </c>
      <c r="G24" s="58">
        <v>0</v>
      </c>
      <c r="H24" s="60">
        <v>0</v>
      </c>
      <c r="I24" s="61">
        <f t="shared" si="0"/>
        <v>110074392</v>
      </c>
    </row>
    <row r="25" spans="1:9">
      <c r="A25" s="52" t="s">
        <v>57</v>
      </c>
      <c r="B25" s="53">
        <v>17043994.57</v>
      </c>
      <c r="C25" s="53">
        <v>2073066.57</v>
      </c>
      <c r="D25" s="54">
        <v>3302269.6</v>
      </c>
      <c r="E25" s="53">
        <v>749607.55</v>
      </c>
      <c r="F25" s="53">
        <v>0</v>
      </c>
      <c r="G25" s="53">
        <v>0</v>
      </c>
      <c r="H25" s="55">
        <v>0</v>
      </c>
      <c r="I25" s="56">
        <f t="shared" si="0"/>
        <v>23168938.290000003</v>
      </c>
    </row>
    <row r="26" spans="1:9">
      <c r="A26" s="57" t="s">
        <v>58</v>
      </c>
      <c r="B26" s="58">
        <v>816855527</v>
      </c>
      <c r="C26" s="58">
        <v>52295239</v>
      </c>
      <c r="D26" s="59">
        <v>418156097</v>
      </c>
      <c r="E26" s="58">
        <v>63717130</v>
      </c>
      <c r="F26" s="58">
        <v>0</v>
      </c>
      <c r="G26" s="58">
        <v>0</v>
      </c>
      <c r="H26" s="60">
        <v>0</v>
      </c>
      <c r="I26" s="61">
        <f t="shared" si="0"/>
        <v>1351023993</v>
      </c>
    </row>
    <row r="27" spans="1:9">
      <c r="A27" s="52" t="s">
        <v>59</v>
      </c>
      <c r="B27" s="53">
        <v>724529059</v>
      </c>
      <c r="C27" s="53">
        <v>194718109</v>
      </c>
      <c r="D27" s="54">
        <v>20253326</v>
      </c>
      <c r="E27" s="53">
        <v>0</v>
      </c>
      <c r="F27" s="53">
        <v>0</v>
      </c>
      <c r="G27" s="53">
        <v>0</v>
      </c>
      <c r="H27" s="55">
        <v>64994622</v>
      </c>
      <c r="I27" s="56">
        <f t="shared" si="0"/>
        <v>1004495116</v>
      </c>
    </row>
    <row r="28" spans="1:9">
      <c r="A28" s="57" t="s">
        <v>60</v>
      </c>
      <c r="B28" s="58">
        <v>990509245</v>
      </c>
      <c r="C28" s="58">
        <v>209673261</v>
      </c>
      <c r="D28" s="59">
        <v>1359717</v>
      </c>
      <c r="E28" s="58">
        <v>735186354</v>
      </c>
      <c r="F28" s="58">
        <v>0</v>
      </c>
      <c r="G28" s="58">
        <v>0</v>
      </c>
      <c r="H28" s="60">
        <v>0</v>
      </c>
      <c r="I28" s="61">
        <f t="shared" si="0"/>
        <v>1936728577</v>
      </c>
    </row>
    <row r="29" spans="1:9">
      <c r="A29" s="52" t="s">
        <v>61</v>
      </c>
      <c r="B29" s="53">
        <v>483272589.38999999</v>
      </c>
      <c r="C29" s="53">
        <v>33217118.710000001</v>
      </c>
      <c r="D29" s="54">
        <v>16145549.93</v>
      </c>
      <c r="E29" s="53">
        <v>234977758.84999999</v>
      </c>
      <c r="F29" s="53">
        <v>0</v>
      </c>
      <c r="G29" s="53">
        <v>0</v>
      </c>
      <c r="H29" s="55">
        <v>0</v>
      </c>
      <c r="I29" s="56">
        <f t="shared" si="0"/>
        <v>767613016.88</v>
      </c>
    </row>
    <row r="30" spans="1:9">
      <c r="A30" s="57" t="s">
        <v>62</v>
      </c>
      <c r="B30" s="58">
        <v>618990668</v>
      </c>
      <c r="C30" s="58">
        <v>353968216</v>
      </c>
      <c r="D30" s="59">
        <v>11379779</v>
      </c>
      <c r="E30" s="58">
        <v>0</v>
      </c>
      <c r="F30" s="58">
        <v>0</v>
      </c>
      <c r="G30" s="58">
        <v>0</v>
      </c>
      <c r="H30" s="60">
        <v>2379805222</v>
      </c>
      <c r="I30" s="61">
        <f t="shared" si="0"/>
        <v>3364143885</v>
      </c>
    </row>
    <row r="31" spans="1:9">
      <c r="A31" s="52" t="s">
        <v>63</v>
      </c>
      <c r="B31" s="53">
        <v>2609785853.6599998</v>
      </c>
      <c r="C31" s="53">
        <v>0</v>
      </c>
      <c r="D31" s="54">
        <v>0</v>
      </c>
      <c r="E31" s="53">
        <v>0</v>
      </c>
      <c r="F31" s="53">
        <v>0</v>
      </c>
      <c r="G31" s="53">
        <v>1425032010</v>
      </c>
      <c r="H31" s="55">
        <v>0</v>
      </c>
      <c r="I31" s="56">
        <f t="shared" si="0"/>
        <v>4034817863.6599998</v>
      </c>
    </row>
    <row r="32" spans="1:9">
      <c r="A32" s="57" t="s">
        <v>64</v>
      </c>
      <c r="B32" s="58">
        <v>869957557</v>
      </c>
      <c r="C32" s="58">
        <v>6441985</v>
      </c>
      <c r="D32" s="59">
        <v>0</v>
      </c>
      <c r="E32" s="58">
        <v>192264</v>
      </c>
      <c r="F32" s="58">
        <v>0</v>
      </c>
      <c r="G32" s="58">
        <v>65774391</v>
      </c>
      <c r="H32" s="60">
        <v>45589458</v>
      </c>
      <c r="I32" s="61">
        <f t="shared" si="0"/>
        <v>987955655</v>
      </c>
    </row>
    <row r="33" spans="1:9">
      <c r="A33" s="52" t="s">
        <v>65</v>
      </c>
      <c r="B33" s="53">
        <v>342904357</v>
      </c>
      <c r="C33" s="53">
        <v>11914611</v>
      </c>
      <c r="D33" s="54">
        <v>0</v>
      </c>
      <c r="E33" s="53">
        <v>108586</v>
      </c>
      <c r="F33" s="53">
        <v>0</v>
      </c>
      <c r="G33" s="53">
        <v>711854982</v>
      </c>
      <c r="H33" s="55">
        <v>0</v>
      </c>
      <c r="I33" s="56">
        <f t="shared" si="0"/>
        <v>1066782536</v>
      </c>
    </row>
    <row r="34" spans="1:9">
      <c r="A34" s="57" t="s">
        <v>66</v>
      </c>
      <c r="B34" s="58">
        <v>1684822314</v>
      </c>
      <c r="C34" s="58">
        <v>257240402</v>
      </c>
      <c r="D34" s="59">
        <v>886182</v>
      </c>
      <c r="E34" s="58">
        <v>0</v>
      </c>
      <c r="F34" s="58">
        <v>6476826650</v>
      </c>
      <c r="G34" s="58">
        <v>0</v>
      </c>
      <c r="H34" s="60">
        <v>0</v>
      </c>
      <c r="I34" s="61">
        <f t="shared" si="0"/>
        <v>8419775548</v>
      </c>
    </row>
    <row r="35" spans="1:9">
      <c r="A35" s="62" t="s">
        <v>67</v>
      </c>
      <c r="B35" s="63">
        <v>66502275.869999997</v>
      </c>
      <c r="C35" s="63">
        <v>4447362</v>
      </c>
      <c r="D35" s="64">
        <v>0</v>
      </c>
      <c r="E35" s="63">
        <v>581101.55000000005</v>
      </c>
      <c r="F35" s="63">
        <v>0</v>
      </c>
      <c r="G35" s="63">
        <v>360212881</v>
      </c>
      <c r="H35" s="65">
        <v>0</v>
      </c>
      <c r="I35" s="66">
        <f t="shared" si="0"/>
        <v>431743620.42000002</v>
      </c>
    </row>
    <row r="36" spans="1:9">
      <c r="A36" s="2" t="s">
        <v>68</v>
      </c>
      <c r="B36" s="67">
        <f t="shared" ref="B36:H36" si="1">SUM(B10:B35)</f>
        <v>18642554503.549999</v>
      </c>
      <c r="C36" s="67">
        <f t="shared" si="1"/>
        <v>1594515993.3600001</v>
      </c>
      <c r="D36" s="68">
        <f t="shared" si="1"/>
        <v>514716469.11000001</v>
      </c>
      <c r="E36" s="67">
        <f t="shared" si="1"/>
        <v>3665944854.7000003</v>
      </c>
      <c r="F36" s="67">
        <f t="shared" si="1"/>
        <v>6476826650</v>
      </c>
      <c r="G36" s="67">
        <f t="shared" si="1"/>
        <v>5410326388</v>
      </c>
      <c r="H36" s="69">
        <f t="shared" si="1"/>
        <v>2490389302</v>
      </c>
      <c r="I36" s="70">
        <f t="shared" si="0"/>
        <v>38795274160.720001</v>
      </c>
    </row>
    <row r="37" spans="1:9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2009</v>
      </c>
      <c r="B1" s="73"/>
    </row>
    <row r="2" spans="1:4" ht="15.75" customHeight="1">
      <c r="A2" s="74" t="str">
        <f>Gross_wages!A2</f>
        <v>Reference year 2013</v>
      </c>
      <c r="B2" s="75"/>
    </row>
    <row r="3" spans="1:4" ht="33" customHeight="1">
      <c r="C3" s="76" t="str">
        <f>Info!$C$28</f>
        <v>FA_2013_20120910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394920911.750745</v>
      </c>
      <c r="D5" s="82"/>
    </row>
    <row r="6" spans="1:4">
      <c r="A6" s="83" t="s">
        <v>72</v>
      </c>
      <c r="B6" s="84" t="str">
        <f>"ATB_"&amp;Info!C30&amp;"_"&amp;Info!C31&amp;".xlsx"</f>
        <v>ATB_2013_2009.xlsx</v>
      </c>
      <c r="C6" s="85">
        <f>Calculation_ITS!O39</f>
        <v>158178379.59999999</v>
      </c>
      <c r="D6" s="82"/>
    </row>
    <row r="7" spans="1:4" ht="24.75" customHeight="1">
      <c r="A7" s="86" t="s">
        <v>73</v>
      </c>
      <c r="B7" s="87"/>
      <c r="C7" s="88">
        <f>ROUND(C6/C5,3)</f>
        <v>0.40100000000000002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2009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2013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FA_2013_20120910</v>
      </c>
      <c r="R3" s="9"/>
    </row>
    <row r="4" spans="1:22" ht="37.5" customHeight="1">
      <c r="A4" s="220" t="str">
        <f>"Calculation based on gross wages "&amp;Info!C31</f>
        <v>Calculation based on gross wages 2009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06" t="s">
        <v>74</v>
      </c>
      <c r="O4" s="207"/>
      <c r="P4" s="207"/>
      <c r="Q4" s="208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75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76</v>
      </c>
      <c r="J6" s="99" t="s">
        <v>77</v>
      </c>
      <c r="K6" s="99" t="s">
        <v>78</v>
      </c>
      <c r="L6" s="100" t="s">
        <v>79</v>
      </c>
      <c r="M6" s="101"/>
      <c r="N6" s="102"/>
      <c r="O6" s="103" t="s">
        <v>80</v>
      </c>
      <c r="P6" s="103" t="s">
        <v>81</v>
      </c>
      <c r="Q6" s="104" t="s">
        <v>82</v>
      </c>
      <c r="R6" s="105"/>
      <c r="S6" s="106" t="s">
        <v>83</v>
      </c>
    </row>
    <row r="7" spans="1:22" ht="16.5" customHeight="1">
      <c r="A7" s="107" t="s">
        <v>21</v>
      </c>
      <c r="B7" s="108" t="s">
        <v>84</v>
      </c>
      <c r="C7" s="108" t="s">
        <v>84</v>
      </c>
      <c r="D7" s="109" t="str">
        <f>IF(Info!C31&lt;2006,"0.03 / STR","(1-0.125)*gamma")</f>
        <v>(1-0.125)*gamma</v>
      </c>
      <c r="E7" s="110" t="s">
        <v>85</v>
      </c>
      <c r="F7" s="110" t="s">
        <v>86</v>
      </c>
      <c r="G7" s="110" t="s">
        <v>85</v>
      </c>
      <c r="H7" s="111" t="s">
        <v>87</v>
      </c>
      <c r="I7" s="110" t="s">
        <v>88</v>
      </c>
      <c r="J7" s="110"/>
      <c r="K7" s="110" t="s">
        <v>89</v>
      </c>
      <c r="L7" s="112" t="s">
        <v>90</v>
      </c>
      <c r="M7" s="101"/>
      <c r="N7" s="113" t="s">
        <v>21</v>
      </c>
      <c r="O7" s="114"/>
      <c r="P7" s="114"/>
      <c r="Q7" s="115" t="s">
        <v>91</v>
      </c>
      <c r="R7" s="105"/>
      <c r="S7" s="116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17" t="str">
        <f>"Relevant income "&amp;Info!C31</f>
        <v>Relevant income 2009</v>
      </c>
      <c r="P8" s="195" t="s">
        <v>93</v>
      </c>
      <c r="Q8" s="202" t="s">
        <v>94</v>
      </c>
      <c r="R8" s="119"/>
      <c r="S8" s="209" t="s">
        <v>95</v>
      </c>
    </row>
    <row r="9" spans="1:22" s="120" customFormat="1" ht="15.75" customHeight="1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96</v>
      </c>
      <c r="J9" s="195" t="s">
        <v>97</v>
      </c>
      <c r="K9" s="195" t="s">
        <v>98</v>
      </c>
      <c r="L9" s="202" t="s">
        <v>99</v>
      </c>
      <c r="M9" s="118"/>
      <c r="N9" s="121"/>
      <c r="O9" s="218"/>
      <c r="P9" s="215"/>
      <c r="Q9" s="204"/>
      <c r="R9" s="119"/>
      <c r="S9" s="210"/>
      <c r="U9" s="122"/>
      <c r="V9" s="123" t="str">
        <f>Info!C28</f>
        <v>FA_2013_20120910</v>
      </c>
    </row>
    <row r="10" spans="1:22" s="120" customFormat="1" ht="66" customHeight="1">
      <c r="A10" s="31"/>
      <c r="B10" s="215"/>
      <c r="C10" s="21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5"/>
      <c r="J10" s="215"/>
      <c r="K10" s="215"/>
      <c r="L10" s="204"/>
      <c r="M10" s="118"/>
      <c r="N10" s="124"/>
      <c r="O10" s="219"/>
      <c r="P10" s="216"/>
      <c r="Q10" s="205"/>
      <c r="R10" s="119"/>
      <c r="S10" s="210"/>
      <c r="U10" s="213" t="str">
        <f>"Standardised tax revenue (STR) "&amp;Info!C30-1</f>
        <v>Standardised tax revenue (STR) 2012</v>
      </c>
      <c r="V10" s="214"/>
    </row>
    <row r="11" spans="1:22" s="125" customFormat="1" ht="15" customHeight="1">
      <c r="A11" s="126" t="s">
        <v>100</v>
      </c>
      <c r="B11" s="127">
        <f>gamma</f>
        <v>0.40100000000000002</v>
      </c>
      <c r="C11" s="127">
        <f>gamma</f>
        <v>0.40100000000000002</v>
      </c>
      <c r="D11" s="128">
        <f>IF(Info!C31&lt;2006,0.03/sst,0.875*gamma)</f>
        <v>0.35087500000000005</v>
      </c>
      <c r="E11" s="127">
        <f>0.045/sst</f>
        <v>0.16187050359712229</v>
      </c>
      <c r="F11" s="127">
        <f>gamma-0.035/sst</f>
        <v>0.27510071942446046</v>
      </c>
      <c r="G11" s="127">
        <f>0.045/sst</f>
        <v>0.16187050359712229</v>
      </c>
      <c r="H11" s="129">
        <f>0.6*gamma</f>
        <v>0.24060000000000001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ATB_2013_2009.xlsx</v>
      </c>
      <c r="P11" s="133"/>
      <c r="Q11" s="133"/>
      <c r="R11" s="134"/>
      <c r="S11" s="135"/>
      <c r="U11" s="211" t="str">
        <f>"Data source: ER_"&amp;Info!C30-1&amp;".xlsx"</f>
        <v>Data source: ER_2012.xlsx</v>
      </c>
      <c r="V11" s="212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1663711.5687672801</v>
      </c>
      <c r="C13" s="142">
        <f>(Gross_wages!C10*C$11)/1000</f>
        <v>24037.944057649998</v>
      </c>
      <c r="D13" s="143">
        <f>(Gross_wages!D10*D$11)/1000</f>
        <v>0</v>
      </c>
      <c r="E13" s="142">
        <f>(Gross_wages!E10*E$11)/1000</f>
        <v>71371.935121402872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95409.879179052863</v>
      </c>
      <c r="J13" s="145">
        <f t="shared" ref="J13:J38" si="1">$J$39</f>
        <v>0.75</v>
      </c>
      <c r="K13" s="142">
        <f t="shared" ref="K13:K39" si="2">I13*J13</f>
        <v>71557.40938428964</v>
      </c>
      <c r="L13" s="146">
        <f t="shared" ref="L13:L39" si="3">K13+B13</f>
        <v>1735268.9781515696</v>
      </c>
      <c r="M13" s="147"/>
      <c r="N13" s="141" t="s">
        <v>42</v>
      </c>
      <c r="O13" s="148">
        <v>34123202.600000001</v>
      </c>
      <c r="P13" s="149">
        <v>0</v>
      </c>
      <c r="Q13" s="146">
        <f>IF(Calculation_ITS!L13=0,O13*P13,0)</f>
        <v>0</v>
      </c>
      <c r="R13" s="150"/>
      <c r="S13" s="151">
        <f>Calculation_ITS!L13+Q13</f>
        <v>1735268.9781515696</v>
      </c>
      <c r="U13" s="152" t="s">
        <v>101</v>
      </c>
      <c r="V13" s="153">
        <v>0.27803804540912103</v>
      </c>
    </row>
    <row r="14" spans="1:22" ht="15.75" customHeight="1">
      <c r="A14" s="154" t="s">
        <v>43</v>
      </c>
      <c r="B14" s="155">
        <f>(Gross_wages!B11*B$11)/1000</f>
        <v>585993.25421100005</v>
      </c>
      <c r="C14" s="155">
        <f>(Gross_wages!C11*C$11)/1000</f>
        <v>25552.477489000001</v>
      </c>
      <c r="D14" s="156">
        <f>(Gross_wages!D11*D$11)/1000</f>
        <v>493.42323187500006</v>
      </c>
      <c r="E14" s="155">
        <f>(Gross_wages!E11*E$11)/1000</f>
        <v>1887.7260431654674</v>
      </c>
      <c r="F14" s="155">
        <f>(Gross_wages!F11*F$11)/1000</f>
        <v>0</v>
      </c>
      <c r="G14" s="155">
        <f>(Gross_wages!G11*G$11)/1000</f>
        <v>16266.379046762589</v>
      </c>
      <c r="H14" s="157">
        <f>(Gross_wages!H11*H$11)/1000</f>
        <v>0</v>
      </c>
      <c r="I14" s="155">
        <f t="shared" si="0"/>
        <v>44200.005810803057</v>
      </c>
      <c r="J14" s="158">
        <f t="shared" si="1"/>
        <v>0.75</v>
      </c>
      <c r="K14" s="155">
        <f t="shared" si="2"/>
        <v>33150.004358102291</v>
      </c>
      <c r="L14" s="159">
        <f t="shared" si="3"/>
        <v>619143.25856910239</v>
      </c>
      <c r="M14" s="147"/>
      <c r="N14" s="154" t="s">
        <v>43</v>
      </c>
      <c r="O14" s="160">
        <v>15552139.1</v>
      </c>
      <c r="P14" s="161">
        <v>0</v>
      </c>
      <c r="Q14" s="159">
        <f>IF(Calculation_ITS!L14=0,O14*P14,0)</f>
        <v>0</v>
      </c>
      <c r="R14" s="150"/>
      <c r="S14" s="162">
        <f>Calculation_ITS!L14+Q14</f>
        <v>619143.25856910239</v>
      </c>
      <c r="U14" s="163" t="s">
        <v>102</v>
      </c>
      <c r="V14" s="164">
        <f>ROUND(V13,3)</f>
        <v>0.27800000000000002</v>
      </c>
    </row>
    <row r="15" spans="1:22" ht="15.75" customHeight="1">
      <c r="A15" s="165" t="s">
        <v>44</v>
      </c>
      <c r="B15" s="166">
        <f>(Gross_wages!B12*B$11)/1000</f>
        <v>251784.19556200001</v>
      </c>
      <c r="C15" s="166">
        <f>(Gross_wages!C12*C$11)/1000</f>
        <v>376.300004</v>
      </c>
      <c r="D15" s="167">
        <f>(Gross_wages!D12*D$11)/1000</f>
        <v>0</v>
      </c>
      <c r="E15" s="166">
        <f>(Gross_wages!E12*E$11)/1000</f>
        <v>711.22856115107913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1087.5285651510792</v>
      </c>
      <c r="J15" s="169">
        <f t="shared" si="1"/>
        <v>0.75</v>
      </c>
      <c r="K15" s="166">
        <f t="shared" si="2"/>
        <v>815.64642386330934</v>
      </c>
      <c r="L15" s="170">
        <f t="shared" si="3"/>
        <v>252599.84198586331</v>
      </c>
      <c r="M15" s="147"/>
      <c r="N15" s="165" t="s">
        <v>44</v>
      </c>
      <c r="O15" s="171">
        <v>6340116.2999999998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252599.84198586331</v>
      </c>
    </row>
    <row r="16" spans="1:22" ht="15.75" customHeight="1">
      <c r="A16" s="154" t="s">
        <v>45</v>
      </c>
      <c r="B16" s="155">
        <f>(Gross_wages!B13*B$11)/1000</f>
        <v>30487.530354000002</v>
      </c>
      <c r="C16" s="155">
        <f>(Gross_wages!C13*C$11)/1000</f>
        <v>0</v>
      </c>
      <c r="D16" s="156">
        <f>(Gross_wages!D13*D$11)/1000</f>
        <v>3202.1852493750007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3202.1852493750007</v>
      </c>
      <c r="J16" s="158">
        <f t="shared" si="1"/>
        <v>0.75</v>
      </c>
      <c r="K16" s="155">
        <f t="shared" si="2"/>
        <v>2401.6389370312504</v>
      </c>
      <c r="L16" s="159">
        <f t="shared" si="3"/>
        <v>32889.169291031256</v>
      </c>
      <c r="M16" s="147"/>
      <c r="N16" s="154" t="s">
        <v>45</v>
      </c>
      <c r="O16" s="160">
        <v>450163.3</v>
      </c>
      <c r="P16" s="161">
        <v>0</v>
      </c>
      <c r="Q16" s="159">
        <f>IF(Calculation_ITS!L16=0,O16*P16,0)</f>
        <v>0</v>
      </c>
      <c r="R16" s="150"/>
      <c r="S16" s="162">
        <f>Calculation_ITS!L16+Q16</f>
        <v>32889.169291031256</v>
      </c>
    </row>
    <row r="17" spans="1:19" ht="15.75" customHeight="1">
      <c r="A17" s="165" t="s">
        <v>46</v>
      </c>
      <c r="B17" s="166">
        <f>(Gross_wages!B14*B$11)/1000</f>
        <v>86932.624387000003</v>
      </c>
      <c r="C17" s="166">
        <f>(Gross_wages!C14*C$11)/1000</f>
        <v>30752.730501000002</v>
      </c>
      <c r="D17" s="167">
        <f>(Gross_wages!D14*D$11)/1000</f>
        <v>1801.2848822500002</v>
      </c>
      <c r="E17" s="166">
        <f>(Gross_wages!E14*E$11)/1000</f>
        <v>240.94035971223022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32794.955742962236</v>
      </c>
      <c r="J17" s="169">
        <f t="shared" si="1"/>
        <v>0.75</v>
      </c>
      <c r="K17" s="166">
        <f t="shared" si="2"/>
        <v>24596.216807221677</v>
      </c>
      <c r="L17" s="170">
        <f t="shared" si="3"/>
        <v>111528.84119422168</v>
      </c>
      <c r="M17" s="147"/>
      <c r="N17" s="165" t="s">
        <v>46</v>
      </c>
      <c r="O17" s="171">
        <v>5351185.7</v>
      </c>
      <c r="P17" s="172">
        <v>0</v>
      </c>
      <c r="Q17" s="170">
        <f>IF(Calculation_ITS!L17=0,O17*P17,0)</f>
        <v>0</v>
      </c>
      <c r="R17" s="150"/>
      <c r="S17" s="173">
        <f>Calculation_ITS!L17+Q17</f>
        <v>111528.84119422168</v>
      </c>
    </row>
    <row r="18" spans="1:19" ht="15.75" customHeight="1">
      <c r="A18" s="154" t="s">
        <v>47</v>
      </c>
      <c r="B18" s="155">
        <f>(Gross_wages!B15*B$11)/1000</f>
        <v>26664.862476399998</v>
      </c>
      <c r="C18" s="155">
        <f>(Gross_wages!C15*C$11)/1000</f>
        <v>569.24108583000009</v>
      </c>
      <c r="D18" s="156">
        <f>(Gross_wages!D15*D$11)/1000</f>
        <v>0</v>
      </c>
      <c r="E18" s="155">
        <f>(Gross_wages!E15*E$11)/1000</f>
        <v>0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569.24108583000009</v>
      </c>
      <c r="J18" s="158">
        <f t="shared" si="1"/>
        <v>0.75</v>
      </c>
      <c r="K18" s="155">
        <f t="shared" si="2"/>
        <v>426.93081437250009</v>
      </c>
      <c r="L18" s="159">
        <f t="shared" si="3"/>
        <v>27091.793290772497</v>
      </c>
      <c r="M18" s="147"/>
      <c r="N18" s="154" t="s">
        <v>47</v>
      </c>
      <c r="O18" s="160">
        <v>615749.80000000005</v>
      </c>
      <c r="P18" s="161">
        <v>0</v>
      </c>
      <c r="Q18" s="159">
        <f>IF(Calculation_ITS!L18=0,O18*P18,0)</f>
        <v>0</v>
      </c>
      <c r="R18" s="150"/>
      <c r="S18" s="162">
        <f>Calculation_ITS!L18+Q18</f>
        <v>27091.793290772497</v>
      </c>
    </row>
    <row r="19" spans="1:19" ht="15.75" customHeight="1">
      <c r="A19" s="165" t="s">
        <v>48</v>
      </c>
      <c r="B19" s="166">
        <f>(Gross_wages!B16*B$11)/1000</f>
        <v>23053.082195030001</v>
      </c>
      <c r="C19" s="166">
        <f>(Gross_wages!C16*C$11)/1000</f>
        <v>245.31529885</v>
      </c>
      <c r="D19" s="167">
        <f>(Gross_wages!D16*D$11)/1000</f>
        <v>934.88405167500025</v>
      </c>
      <c r="E19" s="166">
        <f>(Gross_wages!E16*E$11)/1000</f>
        <v>13.449812050359711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1193.6491625753599</v>
      </c>
      <c r="J19" s="169">
        <f t="shared" si="1"/>
        <v>0.75</v>
      </c>
      <c r="K19" s="166">
        <f t="shared" si="2"/>
        <v>895.23687193152</v>
      </c>
      <c r="L19" s="170">
        <f t="shared" si="3"/>
        <v>23948.319066961521</v>
      </c>
      <c r="M19" s="147"/>
      <c r="N19" s="165" t="s">
        <v>48</v>
      </c>
      <c r="O19" s="171">
        <v>1139289.3</v>
      </c>
      <c r="P19" s="172">
        <v>0</v>
      </c>
      <c r="Q19" s="170">
        <f>IF(Calculation_ITS!L19=0,O19*P19,0)</f>
        <v>0</v>
      </c>
      <c r="R19" s="150"/>
      <c r="S19" s="173">
        <f>Calculation_ITS!L19+Q19</f>
        <v>23948.319066961521</v>
      </c>
    </row>
    <row r="20" spans="1:19" ht="15.75" customHeight="1">
      <c r="A20" s="154" t="s">
        <v>49</v>
      </c>
      <c r="B20" s="155">
        <f>(Gross_wages!B17*B$11)/1000</f>
        <v>27168.861572000002</v>
      </c>
      <c r="C20" s="155">
        <f>(Gross_wages!C17*C$11)/1000</f>
        <v>104.66741600000002</v>
      </c>
      <c r="D20" s="156">
        <f>(Gross_wages!D17*D$11)/1000</f>
        <v>218.03372500000003</v>
      </c>
      <c r="E20" s="155">
        <f>(Gross_wages!E17*E$11)/1000</f>
        <v>14.338812949640287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337.03995394964033</v>
      </c>
      <c r="J20" s="158">
        <f t="shared" si="1"/>
        <v>0.75</v>
      </c>
      <c r="K20" s="155">
        <f t="shared" si="2"/>
        <v>252.77996546223025</v>
      </c>
      <c r="L20" s="159">
        <f t="shared" si="3"/>
        <v>27421.64153746223</v>
      </c>
      <c r="M20" s="147"/>
      <c r="N20" s="154" t="s">
        <v>49</v>
      </c>
      <c r="O20" s="160">
        <v>544001.80000000005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27421.64153746223</v>
      </c>
    </row>
    <row r="21" spans="1:19" ht="15.75" customHeight="1">
      <c r="A21" s="165" t="s">
        <v>50</v>
      </c>
      <c r="B21" s="166">
        <f>(Gross_wages!B18*B$11)/1000</f>
        <v>198668.78898900002</v>
      </c>
      <c r="C21" s="166">
        <f>(Gross_wages!C18*C$11)/1000</f>
        <v>7983.7467930000003</v>
      </c>
      <c r="D21" s="167">
        <f>(Gross_wages!D18*D$11)/1000</f>
        <v>2224.6652641762503</v>
      </c>
      <c r="E21" s="166">
        <f>(Gross_wages!E18*E$11)/1000</f>
        <v>710.18854316546754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10918.600600341719</v>
      </c>
      <c r="J21" s="169">
        <f t="shared" si="1"/>
        <v>0.75</v>
      </c>
      <c r="K21" s="166">
        <f t="shared" si="2"/>
        <v>8188.9504502562886</v>
      </c>
      <c r="L21" s="170">
        <f t="shared" si="3"/>
        <v>206857.73943925631</v>
      </c>
      <c r="M21" s="147"/>
      <c r="N21" s="165" t="s">
        <v>50</v>
      </c>
      <c r="O21" s="171">
        <v>4522711.0999999996</v>
      </c>
      <c r="P21" s="172">
        <v>0</v>
      </c>
      <c r="Q21" s="170">
        <f>IF(Calculation_ITS!L21=0,O21*P21,0)</f>
        <v>0</v>
      </c>
      <c r="R21" s="150"/>
      <c r="S21" s="173">
        <f>Calculation_ITS!L21+Q21</f>
        <v>206857.73943925631</v>
      </c>
    </row>
    <row r="22" spans="1:19" ht="15.75" customHeight="1">
      <c r="A22" s="154" t="s">
        <v>51</v>
      </c>
      <c r="B22" s="155">
        <f>(Gross_wages!B19*B$11)/1000</f>
        <v>190085.79340999998</v>
      </c>
      <c r="C22" s="155">
        <f>(Gross_wages!C19*C$11)/1000</f>
        <v>0</v>
      </c>
      <c r="D22" s="156">
        <f>(Gross_wages!D19*D$11)/1000</f>
        <v>1171.3856612500001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1171.3856612500001</v>
      </c>
      <c r="J22" s="158">
        <f t="shared" si="1"/>
        <v>0.75</v>
      </c>
      <c r="K22" s="155">
        <f t="shared" si="2"/>
        <v>878.53924593750003</v>
      </c>
      <c r="L22" s="159">
        <f t="shared" si="3"/>
        <v>190964.3326559375</v>
      </c>
      <c r="M22" s="147"/>
      <c r="N22" s="154" t="s">
        <v>51</v>
      </c>
      <c r="O22" s="160">
        <v>4271885.2</v>
      </c>
      <c r="P22" s="161">
        <v>0</v>
      </c>
      <c r="Q22" s="159">
        <f>IF(Calculation_ITS!L22=0,O22*P22,0)</f>
        <v>0</v>
      </c>
      <c r="R22" s="150"/>
      <c r="S22" s="162">
        <f>Calculation_ITS!L22+Q22</f>
        <v>190964.3326559375</v>
      </c>
    </row>
    <row r="23" spans="1:19" ht="15.75" customHeight="1">
      <c r="A23" s="165" t="s">
        <v>52</v>
      </c>
      <c r="B23" s="166">
        <f>(Gross_wages!B20*B$11)/1000</f>
        <v>143187.424271</v>
      </c>
      <c r="C23" s="166">
        <f>(Gross_wages!C20*C$11)/1000</f>
        <v>5030.4824440000002</v>
      </c>
      <c r="D23" s="167">
        <f>(Gross_wages!D20*D$11)/1000</f>
        <v>318.05099462500004</v>
      </c>
      <c r="E23" s="166">
        <f>(Gross_wages!E20*E$11)/1000</f>
        <v>5201.7235251798556</v>
      </c>
      <c r="F23" s="166">
        <f>(Gross_wages!F20*F$11)/1000</f>
        <v>0</v>
      </c>
      <c r="G23" s="166">
        <f>(Gross_wages!G20*G$11)/1000</f>
        <v>12890.544442446042</v>
      </c>
      <c r="H23" s="168">
        <f>(Gross_wages!H20*H$11)/1000</f>
        <v>0</v>
      </c>
      <c r="I23" s="166">
        <f t="shared" si="0"/>
        <v>23440.801406250896</v>
      </c>
      <c r="J23" s="169">
        <f t="shared" si="1"/>
        <v>0.75</v>
      </c>
      <c r="K23" s="166">
        <f t="shared" si="2"/>
        <v>17580.601054688173</v>
      </c>
      <c r="L23" s="170">
        <f t="shared" si="3"/>
        <v>160768.02532568818</v>
      </c>
      <c r="M23" s="147"/>
      <c r="N23" s="165" t="s">
        <v>52</v>
      </c>
      <c r="O23" s="171">
        <v>4449152.7</v>
      </c>
      <c r="P23" s="172">
        <v>0</v>
      </c>
      <c r="Q23" s="170">
        <f>IF(Calculation_ITS!L23=0,O23*P23,0)</f>
        <v>0</v>
      </c>
      <c r="R23" s="150"/>
      <c r="S23" s="173">
        <f>Calculation_ITS!L23+Q23</f>
        <v>160768.02532568818</v>
      </c>
    </row>
    <row r="24" spans="1:19" ht="15.75" customHeight="1">
      <c r="A24" s="154" t="s">
        <v>53</v>
      </c>
      <c r="B24" s="155">
        <f>(Gross_wages!B21*B$11)/1000</f>
        <v>260568.96030600002</v>
      </c>
      <c r="C24" s="155">
        <f>(Gross_wages!C21*C$11)/1000</f>
        <v>56259.839652000002</v>
      </c>
      <c r="D24" s="156">
        <f>(Gross_wages!D21*D$11)/1000</f>
        <v>281.82595787500003</v>
      </c>
      <c r="E24" s="155">
        <f>(Gross_wages!E21*E$11)/1000</f>
        <v>198231.21404676259</v>
      </c>
      <c r="F24" s="155">
        <f>(Gross_wages!F21*F$11)/1000</f>
        <v>0</v>
      </c>
      <c r="G24" s="155">
        <f>(Gross_wages!G21*G$11)/1000</f>
        <v>280954.24818345322</v>
      </c>
      <c r="H24" s="157">
        <f>(Gross_wages!H21*H$11)/1000</f>
        <v>0</v>
      </c>
      <c r="I24" s="155">
        <f t="shared" si="0"/>
        <v>535727.12784009078</v>
      </c>
      <c r="J24" s="158">
        <f t="shared" si="1"/>
        <v>0.75</v>
      </c>
      <c r="K24" s="155">
        <f t="shared" si="2"/>
        <v>401795.34588006808</v>
      </c>
      <c r="L24" s="159">
        <f t="shared" si="3"/>
        <v>662364.3061860681</v>
      </c>
      <c r="M24" s="147"/>
      <c r="N24" s="154" t="s">
        <v>53</v>
      </c>
      <c r="O24" s="160">
        <v>4401933.7</v>
      </c>
      <c r="P24" s="161">
        <v>0</v>
      </c>
      <c r="Q24" s="159">
        <f>IF(Calculation_ITS!L24=0,O24*P24,0)</f>
        <v>0</v>
      </c>
      <c r="R24" s="150"/>
      <c r="S24" s="162">
        <f>Calculation_ITS!L24+Q24</f>
        <v>662364.3061860681</v>
      </c>
    </row>
    <row r="25" spans="1:19" ht="15.75" customHeight="1">
      <c r="A25" s="165" t="s">
        <v>54</v>
      </c>
      <c r="B25" s="166">
        <f>(Gross_wages!B22*B$11)/1000</f>
        <v>150178.71090100001</v>
      </c>
      <c r="C25" s="166">
        <f>(Gross_wages!C22*C$11)/1000</f>
        <v>29102.158361000002</v>
      </c>
      <c r="D25" s="167">
        <f>(Gross_wages!D22*D$11)/1000</f>
        <v>346.93712987500004</v>
      </c>
      <c r="E25" s="166">
        <f>(Gross_wages!E22*E$11)/1000</f>
        <v>95449.378111510785</v>
      </c>
      <c r="F25" s="166">
        <f>(Gross_wages!F22*F$11)/1000</f>
        <v>0</v>
      </c>
      <c r="G25" s="166">
        <f>(Gross_wages!G22*G$11)/1000</f>
        <v>150807.33760791368</v>
      </c>
      <c r="H25" s="168">
        <f>(Gross_wages!H22*H$11)/1000</f>
        <v>0</v>
      </c>
      <c r="I25" s="166">
        <f t="shared" si="0"/>
        <v>275705.81121029949</v>
      </c>
      <c r="J25" s="169">
        <f t="shared" si="1"/>
        <v>0.75</v>
      </c>
      <c r="K25" s="166">
        <f t="shared" si="2"/>
        <v>206779.35840772462</v>
      </c>
      <c r="L25" s="170">
        <f t="shared" si="3"/>
        <v>356958.0693087246</v>
      </c>
      <c r="M25" s="147"/>
      <c r="N25" s="165" t="s">
        <v>54</v>
      </c>
      <c r="O25" s="171">
        <v>6404586.0999999996</v>
      </c>
      <c r="P25" s="172">
        <v>0</v>
      </c>
      <c r="Q25" s="170">
        <f>IF(Calculation_ITS!L25=0,O25*P25,0)</f>
        <v>0</v>
      </c>
      <c r="R25" s="150"/>
      <c r="S25" s="173">
        <f>Calculation_ITS!L25+Q25</f>
        <v>356958.0693087246</v>
      </c>
    </row>
    <row r="26" spans="1:19" ht="15.75" customHeight="1">
      <c r="A26" s="154" t="s">
        <v>55</v>
      </c>
      <c r="B26" s="155">
        <f>(Gross_wages!B23*B$11)/1000</f>
        <v>100847.34898835</v>
      </c>
      <c r="C26" s="155">
        <f>(Gross_wages!C23*C$11)/1000</f>
        <v>6915.9895567500007</v>
      </c>
      <c r="D26" s="156">
        <f>(Gross_wages!D23*D$11)/1000</f>
        <v>78.322229781250002</v>
      </c>
      <c r="E26" s="155">
        <f>(Gross_wages!E23*E$11)/1000</f>
        <v>51363.579180755391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58357.890967286643</v>
      </c>
      <c r="J26" s="158">
        <f t="shared" si="1"/>
        <v>0.75</v>
      </c>
      <c r="K26" s="155">
        <f t="shared" si="2"/>
        <v>43768.418225464979</v>
      </c>
      <c r="L26" s="159">
        <f t="shared" si="3"/>
        <v>144615.76721381498</v>
      </c>
      <c r="M26" s="147"/>
      <c r="N26" s="154" t="s">
        <v>55</v>
      </c>
      <c r="O26" s="160">
        <v>1239458.2</v>
      </c>
      <c r="P26" s="161">
        <v>0</v>
      </c>
      <c r="Q26" s="159">
        <f>IF(Calculation_ITS!L26=0,O26*P26,0)</f>
        <v>0</v>
      </c>
      <c r="R26" s="150"/>
      <c r="S26" s="162">
        <f>Calculation_ITS!L26+Q26</f>
        <v>144615.76721381498</v>
      </c>
    </row>
    <row r="27" spans="1:19" ht="15.75" customHeight="1">
      <c r="A27" s="165" t="s">
        <v>56</v>
      </c>
      <c r="B27" s="166">
        <f>(Gross_wages!B24*B$11)/1000</f>
        <v>37036.799896999997</v>
      </c>
      <c r="C27" s="166">
        <f>(Gross_wages!C24*C$11)/1000</f>
        <v>948.28319600000009</v>
      </c>
      <c r="D27" s="167">
        <f>(Gross_wages!D24*D$11)/1000</f>
        <v>4098.5729802500009</v>
      </c>
      <c r="E27" s="166">
        <f>(Gross_wages!E24*E$11)/1000</f>
        <v>593.65893884892091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5640.5151150989223</v>
      </c>
      <c r="J27" s="169">
        <f t="shared" si="1"/>
        <v>0.75</v>
      </c>
      <c r="K27" s="166">
        <f t="shared" si="2"/>
        <v>4230.3863363241917</v>
      </c>
      <c r="L27" s="170">
        <f t="shared" si="3"/>
        <v>41267.186233324188</v>
      </c>
      <c r="M27" s="147"/>
      <c r="N27" s="165" t="s">
        <v>56</v>
      </c>
      <c r="O27" s="171">
        <v>925874.3</v>
      </c>
      <c r="P27" s="172">
        <v>0</v>
      </c>
      <c r="Q27" s="170">
        <f>IF(Calculation_ITS!L27=0,O27*P27,0)</f>
        <v>0</v>
      </c>
      <c r="R27" s="150"/>
      <c r="S27" s="173">
        <f>Calculation_ITS!L27+Q27</f>
        <v>41267.186233324188</v>
      </c>
    </row>
    <row r="28" spans="1:19" ht="15.75" customHeight="1">
      <c r="A28" s="154" t="s">
        <v>57</v>
      </c>
      <c r="B28" s="155">
        <f>(Gross_wages!B25*B$11)/1000</f>
        <v>6834.6418225700008</v>
      </c>
      <c r="C28" s="155">
        <f>(Gross_wages!C25*C$11)/1000</f>
        <v>831.29969457000004</v>
      </c>
      <c r="D28" s="156">
        <f>(Gross_wages!D25*D$11)/1000</f>
        <v>1158.6838459000003</v>
      </c>
      <c r="E28" s="155">
        <f>(Gross_wages!E25*E$11)/1000</f>
        <v>121.33935161870504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2111.3228920887054</v>
      </c>
      <c r="J28" s="158">
        <f t="shared" si="1"/>
        <v>0.75</v>
      </c>
      <c r="K28" s="155">
        <f t="shared" si="2"/>
        <v>1583.4921690665292</v>
      </c>
      <c r="L28" s="159">
        <f t="shared" si="3"/>
        <v>8418.1339916365305</v>
      </c>
      <c r="M28" s="147"/>
      <c r="N28" s="154" t="s">
        <v>57</v>
      </c>
      <c r="O28" s="160">
        <v>292314.2</v>
      </c>
      <c r="P28" s="161">
        <v>0</v>
      </c>
      <c r="Q28" s="159">
        <f>IF(Calculation_ITS!L28=0,O28*P28,0)</f>
        <v>0</v>
      </c>
      <c r="R28" s="150"/>
      <c r="S28" s="162">
        <f>Calculation_ITS!L28+Q28</f>
        <v>8418.1339916365305</v>
      </c>
    </row>
    <row r="29" spans="1:19" ht="15.75" customHeight="1">
      <c r="A29" s="165" t="s">
        <v>58</v>
      </c>
      <c r="B29" s="166">
        <f>(Gross_wages!B26*B$11)/1000</f>
        <v>327559.06632700004</v>
      </c>
      <c r="C29" s="166">
        <f>(Gross_wages!C26*C$11)/1000</f>
        <v>20970.390839000003</v>
      </c>
      <c r="D29" s="167">
        <f>(Gross_wages!D26*D$11)/1000</f>
        <v>146720.52053487502</v>
      </c>
      <c r="E29" s="166">
        <f>(Gross_wages!E26*E$11)/1000</f>
        <v>10313.923920863308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178004.83529473832</v>
      </c>
      <c r="J29" s="169">
        <f t="shared" si="1"/>
        <v>0.75</v>
      </c>
      <c r="K29" s="166">
        <f t="shared" si="2"/>
        <v>133503.62647105375</v>
      </c>
      <c r="L29" s="170">
        <f t="shared" si="3"/>
        <v>461062.69279805379</v>
      </c>
      <c r="M29" s="147"/>
      <c r="N29" s="165" t="s">
        <v>58</v>
      </c>
      <c r="O29" s="171">
        <v>7386921.4000000004</v>
      </c>
      <c r="P29" s="172">
        <v>0</v>
      </c>
      <c r="Q29" s="170">
        <f>IF(Calculation_ITS!L29=0,O29*P29,0)</f>
        <v>0</v>
      </c>
      <c r="R29" s="150"/>
      <c r="S29" s="173">
        <f>Calculation_ITS!L29+Q29</f>
        <v>461062.69279805379</v>
      </c>
    </row>
    <row r="30" spans="1:19" ht="15.75" customHeight="1">
      <c r="A30" s="154" t="s">
        <v>59</v>
      </c>
      <c r="B30" s="155">
        <f>(Gross_wages!B27*B$11)/1000</f>
        <v>290536.15265900001</v>
      </c>
      <c r="C30" s="155">
        <f>(Gross_wages!C27*C$11)/1000</f>
        <v>78081.96170900001</v>
      </c>
      <c r="D30" s="156">
        <f>(Gross_wages!D27*D$11)/1000</f>
        <v>7106.3857602500011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15637.706053200001</v>
      </c>
      <c r="I30" s="155">
        <f t="shared" si="0"/>
        <v>100826.05352245002</v>
      </c>
      <c r="J30" s="158">
        <f t="shared" si="1"/>
        <v>0.75</v>
      </c>
      <c r="K30" s="155">
        <f t="shared" si="2"/>
        <v>75619.540141837511</v>
      </c>
      <c r="L30" s="159">
        <f t="shared" si="3"/>
        <v>366155.69280083751</v>
      </c>
      <c r="M30" s="147"/>
      <c r="N30" s="154" t="s">
        <v>59</v>
      </c>
      <c r="O30" s="160">
        <v>3234544.2</v>
      </c>
      <c r="P30" s="161">
        <v>0</v>
      </c>
      <c r="Q30" s="159">
        <f>IF(Calculation_ITS!L30=0,O30*P30,0)</f>
        <v>0</v>
      </c>
      <c r="R30" s="150"/>
      <c r="S30" s="162">
        <f>Calculation_ITS!L30+Q30</f>
        <v>366155.69280083751</v>
      </c>
    </row>
    <row r="31" spans="1:19" ht="15.75" customHeight="1">
      <c r="A31" s="165" t="s">
        <v>60</v>
      </c>
      <c r="B31" s="166">
        <f>(Gross_wages!B28*B$11)/1000</f>
        <v>397194.207245</v>
      </c>
      <c r="C31" s="166">
        <f>(Gross_wages!C28*C$11)/1000</f>
        <v>84078.977660999997</v>
      </c>
      <c r="D31" s="167">
        <f>(Gross_wages!D28*D$11)/1000</f>
        <v>477.09070237500003</v>
      </c>
      <c r="E31" s="166">
        <f>(Gross_wages!E28*E$11)/1000</f>
        <v>119004.98535971223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203561.05372308724</v>
      </c>
      <c r="J31" s="169">
        <f t="shared" si="1"/>
        <v>0.75</v>
      </c>
      <c r="K31" s="166">
        <f t="shared" si="2"/>
        <v>152670.79029231542</v>
      </c>
      <c r="L31" s="170">
        <f t="shared" si="3"/>
        <v>549864.99753731536</v>
      </c>
      <c r="M31" s="147"/>
      <c r="N31" s="165" t="s">
        <v>60</v>
      </c>
      <c r="O31" s="171">
        <v>11366271.699999999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549864.99753731536</v>
      </c>
    </row>
    <row r="32" spans="1:19" ht="15.75" customHeight="1">
      <c r="A32" s="154" t="s">
        <v>61</v>
      </c>
      <c r="B32" s="155">
        <f>(Gross_wages!B29*B$11)/1000</f>
        <v>193792.30834538999</v>
      </c>
      <c r="C32" s="155">
        <f>(Gross_wages!C29*C$11)/1000</f>
        <v>13320.064602710001</v>
      </c>
      <c r="D32" s="156">
        <f>(Gross_wages!D29*D$11)/1000</f>
        <v>5665.0698316887501</v>
      </c>
      <c r="E32" s="155">
        <f>(Gross_wages!E29*E$11)/1000</f>
        <v>38035.968159172662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57021.102593571413</v>
      </c>
      <c r="J32" s="158">
        <f t="shared" si="1"/>
        <v>0.75</v>
      </c>
      <c r="K32" s="155">
        <f t="shared" si="2"/>
        <v>42765.82694517856</v>
      </c>
      <c r="L32" s="159">
        <f t="shared" si="3"/>
        <v>236558.13529056855</v>
      </c>
      <c r="M32" s="147"/>
      <c r="N32" s="154" t="s">
        <v>61</v>
      </c>
      <c r="O32" s="160">
        <v>4074225</v>
      </c>
      <c r="P32" s="161">
        <v>0</v>
      </c>
      <c r="Q32" s="159">
        <f>IF(Calculation_ITS!L32=0,O32*P32,0)</f>
        <v>0</v>
      </c>
      <c r="R32" s="150"/>
      <c r="S32" s="162">
        <f>Calculation_ITS!L32+Q32</f>
        <v>236558.13529056855</v>
      </c>
    </row>
    <row r="33" spans="1:19" ht="15.75" customHeight="1">
      <c r="A33" s="165" t="s">
        <v>62</v>
      </c>
      <c r="B33" s="166">
        <f>(Gross_wages!B30*B$11)/1000</f>
        <v>248215.25786800002</v>
      </c>
      <c r="C33" s="166">
        <f>(Gross_wages!C30*C$11)/1000</f>
        <v>141941.25461599999</v>
      </c>
      <c r="D33" s="167">
        <f>(Gross_wages!D30*D$11)/1000</f>
        <v>3992.8799566250004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572581.13641320006</v>
      </c>
      <c r="I33" s="166">
        <f t="shared" si="0"/>
        <v>718515.27098582499</v>
      </c>
      <c r="J33" s="169">
        <f t="shared" si="1"/>
        <v>0.75</v>
      </c>
      <c r="K33" s="166">
        <f t="shared" si="2"/>
        <v>538886.45323936874</v>
      </c>
      <c r="L33" s="170">
        <f t="shared" si="3"/>
        <v>787101.71110736881</v>
      </c>
      <c r="M33" s="147"/>
      <c r="N33" s="165" t="s">
        <v>62</v>
      </c>
      <c r="O33" s="171">
        <v>6234367.2999999998</v>
      </c>
      <c r="P33" s="172">
        <v>0</v>
      </c>
      <c r="Q33" s="170">
        <f>IF(Calculation_ITS!L33=0,O33*P33,0)</f>
        <v>0</v>
      </c>
      <c r="R33" s="150"/>
      <c r="S33" s="173">
        <f>Calculation_ITS!L33+Q33</f>
        <v>787101.71110736881</v>
      </c>
    </row>
    <row r="34" spans="1:19" ht="15.75" customHeight="1">
      <c r="A34" s="154" t="s">
        <v>63</v>
      </c>
      <c r="B34" s="155">
        <f>(Gross_wages!B31*B$11)/1000</f>
        <v>1046524.12731766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230670.64910071943</v>
      </c>
      <c r="H34" s="157">
        <f>(Gross_wages!H31*H$11)/1000</f>
        <v>0</v>
      </c>
      <c r="I34" s="155">
        <f t="shared" si="0"/>
        <v>230670.64910071943</v>
      </c>
      <c r="J34" s="158">
        <f t="shared" si="1"/>
        <v>0.75</v>
      </c>
      <c r="K34" s="155">
        <f t="shared" si="2"/>
        <v>173002.98682553956</v>
      </c>
      <c r="L34" s="159">
        <f t="shared" si="3"/>
        <v>1219527.1141431995</v>
      </c>
      <c r="M34" s="147"/>
      <c r="N34" s="154" t="s">
        <v>63</v>
      </c>
      <c r="O34" s="160">
        <v>14696197.699999999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1219527.1141431995</v>
      </c>
    </row>
    <row r="35" spans="1:19" ht="15.75" customHeight="1">
      <c r="A35" s="165" t="s">
        <v>64</v>
      </c>
      <c r="B35" s="166">
        <f>(Gross_wages!B32*B$11)/1000</f>
        <v>348852.98035700002</v>
      </c>
      <c r="C35" s="166">
        <f>(Gross_wages!C32*C$11)/1000</f>
        <v>2583.2359850000003</v>
      </c>
      <c r="D35" s="167">
        <f>(Gross_wages!D32*D$11)/1000</f>
        <v>0</v>
      </c>
      <c r="E35" s="166">
        <f>(Gross_wages!E32*E$11)/1000</f>
        <v>31.121870503597123</v>
      </c>
      <c r="F35" s="166">
        <f>(Gross_wages!F32*F$11)/1000</f>
        <v>0</v>
      </c>
      <c r="G35" s="166">
        <f>(Gross_wages!G32*G$11)/1000</f>
        <v>10646.933794964028</v>
      </c>
      <c r="H35" s="168">
        <f>(Gross_wages!H32*H$11)/1000</f>
        <v>10968.8235948</v>
      </c>
      <c r="I35" s="166">
        <f t="shared" si="0"/>
        <v>24230.115245267625</v>
      </c>
      <c r="J35" s="169">
        <f t="shared" si="1"/>
        <v>0.75</v>
      </c>
      <c r="K35" s="166">
        <f t="shared" si="2"/>
        <v>18172.586433950717</v>
      </c>
      <c r="L35" s="170">
        <f t="shared" si="3"/>
        <v>367025.56679095072</v>
      </c>
      <c r="M35" s="147"/>
      <c r="N35" s="165" t="s">
        <v>64</v>
      </c>
      <c r="O35" s="171">
        <v>4669382.8</v>
      </c>
      <c r="P35" s="172">
        <v>0</v>
      </c>
      <c r="Q35" s="170">
        <f>IF(Calculation_ITS!L35=0,O35*P35,0)</f>
        <v>0</v>
      </c>
      <c r="R35" s="150"/>
      <c r="S35" s="173">
        <f>Calculation_ITS!L35+Q35</f>
        <v>367025.56679095072</v>
      </c>
    </row>
    <row r="36" spans="1:19" ht="15.75" customHeight="1">
      <c r="A36" s="154" t="s">
        <v>65</v>
      </c>
      <c r="B36" s="155">
        <f>(Gross_wages!B33*B$11)/1000</f>
        <v>137504.647157</v>
      </c>
      <c r="C36" s="155">
        <f>(Gross_wages!C33*C$11)/1000</f>
        <v>4777.7590110000001</v>
      </c>
      <c r="D36" s="156">
        <f>(Gross_wages!D33*D$11)/1000</f>
        <v>0</v>
      </c>
      <c r="E36" s="155">
        <f>(Gross_wages!E33*E$11)/1000</f>
        <v>17.576870503597121</v>
      </c>
      <c r="F36" s="155">
        <f>(Gross_wages!F33*F$11)/1000</f>
        <v>0</v>
      </c>
      <c r="G36" s="155">
        <f>(Gross_wages!G33*G$11)/1000</f>
        <v>115228.32442446043</v>
      </c>
      <c r="H36" s="157">
        <f>(Gross_wages!H33*H$11)/1000</f>
        <v>0</v>
      </c>
      <c r="I36" s="155">
        <f t="shared" si="0"/>
        <v>120023.66030596403</v>
      </c>
      <c r="J36" s="158">
        <f t="shared" si="1"/>
        <v>0.75</v>
      </c>
      <c r="K36" s="155">
        <f t="shared" si="2"/>
        <v>90017.745229473017</v>
      </c>
      <c r="L36" s="159">
        <f t="shared" si="3"/>
        <v>227522.39238647302</v>
      </c>
      <c r="M36" s="147"/>
      <c r="N36" s="154" t="s">
        <v>65</v>
      </c>
      <c r="O36" s="160">
        <v>2723157.9</v>
      </c>
      <c r="P36" s="161">
        <v>0</v>
      </c>
      <c r="Q36" s="159">
        <f>IF(Calculation_ITS!L36=0,O36*P36,0)</f>
        <v>0</v>
      </c>
      <c r="R36" s="150"/>
      <c r="S36" s="162">
        <f>Calculation_ITS!L36+Q36</f>
        <v>227522.39238647302</v>
      </c>
    </row>
    <row r="37" spans="1:19" ht="15.75" customHeight="1">
      <c r="A37" s="165" t="s">
        <v>66</v>
      </c>
      <c r="B37" s="166">
        <f>(Gross_wages!B34*B$11)/1000</f>
        <v>675613.74791400007</v>
      </c>
      <c r="C37" s="166">
        <f>(Gross_wages!C34*C$11)/1000</f>
        <v>103153.40120200001</v>
      </c>
      <c r="D37" s="167">
        <f>(Gross_wages!D34*D$11)/1000</f>
        <v>310.93910925000006</v>
      </c>
      <c r="E37" s="166">
        <f>(Gross_wages!E34*E$11)/1000</f>
        <v>0</v>
      </c>
      <c r="F37" s="166">
        <f>(Gross_wages!F34*F$11)/1000</f>
        <v>1781779.6710025182</v>
      </c>
      <c r="G37" s="166">
        <f>(Gross_wages!G34*G$11)/1000</f>
        <v>0</v>
      </c>
      <c r="H37" s="168">
        <f>(Gross_wages!H34*H$11)/1000</f>
        <v>0</v>
      </c>
      <c r="I37" s="166">
        <f t="shared" si="0"/>
        <v>1885244.0113137681</v>
      </c>
      <c r="J37" s="169">
        <f t="shared" si="1"/>
        <v>0.75</v>
      </c>
      <c r="K37" s="166">
        <f t="shared" si="2"/>
        <v>1413933.0084853261</v>
      </c>
      <c r="L37" s="170">
        <f t="shared" si="3"/>
        <v>2089546.756399326</v>
      </c>
      <c r="M37" s="147"/>
      <c r="N37" s="165" t="s">
        <v>66</v>
      </c>
      <c r="O37" s="171">
        <v>12278279</v>
      </c>
      <c r="P37" s="172">
        <v>0</v>
      </c>
      <c r="Q37" s="170">
        <f>IF(Calculation_ITS!L37=0,O37*P37,0)</f>
        <v>0</v>
      </c>
      <c r="R37" s="150"/>
      <c r="S37" s="173">
        <f>Calculation_ITS!L37+Q37</f>
        <v>2089546.756399326</v>
      </c>
    </row>
    <row r="38" spans="1:19" ht="15.75" customHeight="1">
      <c r="A38" s="174" t="s">
        <v>67</v>
      </c>
      <c r="B38" s="175">
        <f>(Gross_wages!B35*B$11)/1000</f>
        <v>26667.412623870001</v>
      </c>
      <c r="C38" s="175">
        <f>(Gross_wages!C35*C$11)/1000</f>
        <v>1783.3921620000001</v>
      </c>
      <c r="D38" s="176">
        <f>(Gross_wages!D35*D$11)/1000</f>
        <v>0</v>
      </c>
      <c r="E38" s="175">
        <f>(Gross_wages!E35*E$11)/1000</f>
        <v>94.063200539568356</v>
      </c>
      <c r="F38" s="175">
        <f>(Gross_wages!F35*F$11)/1000</f>
        <v>0</v>
      </c>
      <c r="G38" s="175">
        <f>(Gross_wages!G35*G$11)/1000</f>
        <v>58307.84044964028</v>
      </c>
      <c r="H38" s="177">
        <f>(Gross_wages!H35*H$11)/1000</f>
        <v>0</v>
      </c>
      <c r="I38" s="175">
        <f t="shared" si="0"/>
        <v>60185.295812179851</v>
      </c>
      <c r="J38" s="178">
        <f t="shared" si="1"/>
        <v>0.75</v>
      </c>
      <c r="K38" s="175">
        <f t="shared" si="2"/>
        <v>45138.971859134886</v>
      </c>
      <c r="L38" s="179">
        <f t="shared" si="3"/>
        <v>71806.384483004891</v>
      </c>
      <c r="M38" s="147"/>
      <c r="N38" s="174" t="s">
        <v>67</v>
      </c>
      <c r="O38" s="180">
        <v>891269.2</v>
      </c>
      <c r="P38" s="181">
        <v>0</v>
      </c>
      <c r="Q38" s="179">
        <f>IF(Calculation_ITS!L38=0,O38*P38,0)</f>
        <v>0</v>
      </c>
      <c r="R38" s="150"/>
      <c r="S38" s="182">
        <f>Calculation_ITS!L38+Q38</f>
        <v>71806.384483004891</v>
      </c>
    </row>
    <row r="39" spans="1:19" ht="15.75" customHeight="1">
      <c r="A39" s="183" t="s">
        <v>68</v>
      </c>
      <c r="B39" s="184">
        <f t="shared" ref="B39:I39" si="4">SUM(B13:B38)</f>
        <v>7475664.3559235511</v>
      </c>
      <c r="C39" s="184">
        <f t="shared" si="4"/>
        <v>639400.91333736002</v>
      </c>
      <c r="D39" s="185">
        <f t="shared" si="4"/>
        <v>180601.14109897125</v>
      </c>
      <c r="E39" s="184">
        <f t="shared" si="4"/>
        <v>593408.33978956845</v>
      </c>
      <c r="F39" s="184">
        <f t="shared" si="4"/>
        <v>1781779.6710025182</v>
      </c>
      <c r="G39" s="184">
        <f t="shared" si="4"/>
        <v>875772.25705035962</v>
      </c>
      <c r="H39" s="186">
        <f t="shared" si="4"/>
        <v>599187.66606119997</v>
      </c>
      <c r="I39" s="184">
        <f t="shared" si="4"/>
        <v>4670149.9883399773</v>
      </c>
      <c r="J39" s="187">
        <v>0.75</v>
      </c>
      <c r="K39" s="184">
        <f t="shared" si="2"/>
        <v>3502612.491254983</v>
      </c>
      <c r="L39" s="188">
        <f t="shared" si="3"/>
        <v>10978276.847178534</v>
      </c>
      <c r="M39" s="147"/>
      <c r="N39" s="183" t="s">
        <v>68</v>
      </c>
      <c r="O39" s="189">
        <f>SUM(O13:O38)</f>
        <v>158178379.59999999</v>
      </c>
      <c r="P39" s="190"/>
      <c r="Q39" s="188">
        <f>SUM(Q13:Q38)</f>
        <v>0</v>
      </c>
      <c r="R39" s="150"/>
      <c r="S39" s="191">
        <f>SUM(S13:S38)</f>
        <v>10978276.847178532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2012-09-25T10:11:07Z</dcterms:modified>
</cp:coreProperties>
</file>