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C3"/>
  <c r="L2"/>
  <c r="B1"/>
  <c r="P32" i="1"/>
  <c r="O32"/>
  <c r="L32"/>
  <c r="K32"/>
  <c r="J32"/>
  <c r="F32"/>
  <c r="E32"/>
  <c r="D32"/>
  <c r="Q31"/>
  <c r="I30" i="2" s="1"/>
  <c r="M31" i="1"/>
  <c r="H31"/>
  <c r="G31"/>
  <c r="N31" s="1"/>
  <c r="R31" s="1"/>
  <c r="J30" i="2" s="1"/>
  <c r="Q30" i="1"/>
  <c r="I29" i="2" s="1"/>
  <c r="M30" i="1"/>
  <c r="H30"/>
  <c r="G30"/>
  <c r="N30" s="1"/>
  <c r="R30" s="1"/>
  <c r="J29" i="2" s="1"/>
  <c r="Q29" i="1"/>
  <c r="I28" i="2" s="1"/>
  <c r="M29" i="1"/>
  <c r="H29"/>
  <c r="G29"/>
  <c r="N29" s="1"/>
  <c r="R29" s="1"/>
  <c r="J28" i="2" s="1"/>
  <c r="Q28" i="1"/>
  <c r="I27" i="2" s="1"/>
  <c r="M28" i="1"/>
  <c r="H28"/>
  <c r="G28"/>
  <c r="N28" s="1"/>
  <c r="R28" s="1"/>
  <c r="J27" i="2" s="1"/>
  <c r="Q27" i="1"/>
  <c r="I26" i="2" s="1"/>
  <c r="M27" i="1"/>
  <c r="H27"/>
  <c r="G27"/>
  <c r="N27" s="1"/>
  <c r="R27" s="1"/>
  <c r="J26" i="2" s="1"/>
  <c r="Q26" i="1"/>
  <c r="I25" i="2" s="1"/>
  <c r="M26" i="1"/>
  <c r="H26"/>
  <c r="G26"/>
  <c r="N26" s="1"/>
  <c r="R26" s="1"/>
  <c r="J25" i="2" s="1"/>
  <c r="Q25" i="1"/>
  <c r="I24" i="2" s="1"/>
  <c r="M25" i="1"/>
  <c r="H25"/>
  <c r="G25"/>
  <c r="N25" s="1"/>
  <c r="R25" s="1"/>
  <c r="J24" i="2" s="1"/>
  <c r="Q24" i="1"/>
  <c r="I23" i="2" s="1"/>
  <c r="M24" i="1"/>
  <c r="H24"/>
  <c r="G24"/>
  <c r="N24" s="1"/>
  <c r="R24" s="1"/>
  <c r="J23" i="2" s="1"/>
  <c r="Q23" i="1"/>
  <c r="I22" i="2" s="1"/>
  <c r="M23" i="1"/>
  <c r="H23"/>
  <c r="G23"/>
  <c r="N23" s="1"/>
  <c r="R23" s="1"/>
  <c r="J22" i="2" s="1"/>
  <c r="Q22" i="1"/>
  <c r="I21" i="2" s="1"/>
  <c r="M22" i="1"/>
  <c r="H22"/>
  <c r="G22"/>
  <c r="N22" s="1"/>
  <c r="R22" s="1"/>
  <c r="J21" i="2" s="1"/>
  <c r="Q21" i="1"/>
  <c r="I20" i="2" s="1"/>
  <c r="M21" i="1"/>
  <c r="H21"/>
  <c r="G21"/>
  <c r="N21" s="1"/>
  <c r="R21" s="1"/>
  <c r="J20" i="2" s="1"/>
  <c r="Q20" i="1"/>
  <c r="I19" i="2" s="1"/>
  <c r="M20" i="1"/>
  <c r="H20"/>
  <c r="G20"/>
  <c r="N20" s="1"/>
  <c r="R20" s="1"/>
  <c r="J19" i="2" s="1"/>
  <c r="Q19" i="1"/>
  <c r="I18" i="2" s="1"/>
  <c r="M19" i="1"/>
  <c r="H19"/>
  <c r="G19"/>
  <c r="N19" s="1"/>
  <c r="R19" s="1"/>
  <c r="J18" i="2" s="1"/>
  <c r="Q18" i="1"/>
  <c r="I17" i="2" s="1"/>
  <c r="M18" i="1"/>
  <c r="H18"/>
  <c r="G18"/>
  <c r="N18" s="1"/>
  <c r="R18" s="1"/>
  <c r="J17" i="2" s="1"/>
  <c r="Q17" i="1"/>
  <c r="I16" i="2" s="1"/>
  <c r="M17" i="1"/>
  <c r="H17"/>
  <c r="G17"/>
  <c r="N17" s="1"/>
  <c r="R17" s="1"/>
  <c r="J16" i="2" s="1"/>
  <c r="Q16" i="1"/>
  <c r="I15" i="2" s="1"/>
  <c r="M16" i="1"/>
  <c r="H16"/>
  <c r="G16"/>
  <c r="N16" s="1"/>
  <c r="R16" s="1"/>
  <c r="J15" i="2" s="1"/>
  <c r="Q15" i="1"/>
  <c r="I14" i="2" s="1"/>
  <c r="M15" i="1"/>
  <c r="H15"/>
  <c r="G15"/>
  <c r="N15" s="1"/>
  <c r="R15" s="1"/>
  <c r="J14" i="2" s="1"/>
  <c r="Q14" i="1"/>
  <c r="I13" i="2" s="1"/>
  <c r="M14" i="1"/>
  <c r="H14"/>
  <c r="G14"/>
  <c r="N14" s="1"/>
  <c r="R14" s="1"/>
  <c r="J13" i="2" s="1"/>
  <c r="Q13" i="1"/>
  <c r="I12" i="2" s="1"/>
  <c r="M13" i="1"/>
  <c r="H13"/>
  <c r="G13"/>
  <c r="N13" s="1"/>
  <c r="R13" s="1"/>
  <c r="J12" i="2" s="1"/>
  <c r="Q12" i="1"/>
  <c r="I11" i="2" s="1"/>
  <c r="M12" i="1"/>
  <c r="H12"/>
  <c r="G12"/>
  <c r="N12" s="1"/>
  <c r="R12" s="1"/>
  <c r="J11" i="2" s="1"/>
  <c r="Q11" i="1"/>
  <c r="I10" i="2" s="1"/>
  <c r="M11" i="1"/>
  <c r="H11"/>
  <c r="G11"/>
  <c r="N11" s="1"/>
  <c r="R11" s="1"/>
  <c r="J10" i="2" s="1"/>
  <c r="Q10" i="1"/>
  <c r="I9" i="2" s="1"/>
  <c r="M10" i="1"/>
  <c r="H10"/>
  <c r="G10"/>
  <c r="N10" s="1"/>
  <c r="R10" s="1"/>
  <c r="J9" i="2" s="1"/>
  <c r="Q9" i="1"/>
  <c r="I8" i="2" s="1"/>
  <c r="M9" i="1"/>
  <c r="H9"/>
  <c r="G9"/>
  <c r="N9" s="1"/>
  <c r="R9" s="1"/>
  <c r="J8" i="2" s="1"/>
  <c r="Q8" i="1"/>
  <c r="I7" i="2" s="1"/>
  <c r="M8" i="1"/>
  <c r="H8"/>
  <c r="G8"/>
  <c r="N8" s="1"/>
  <c r="R8" s="1"/>
  <c r="J7" i="2" s="1"/>
  <c r="Q7" i="1"/>
  <c r="I6" i="2" s="1"/>
  <c r="M7" i="1"/>
  <c r="H7"/>
  <c r="G7"/>
  <c r="N7" s="1"/>
  <c r="R7" s="1"/>
  <c r="J6" i="2" s="1"/>
  <c r="Q6" i="1"/>
  <c r="I5" i="2" s="1"/>
  <c r="M6" i="1"/>
  <c r="M32" s="1"/>
  <c r="H6"/>
  <c r="H32" s="1"/>
  <c r="G6"/>
  <c r="G32" s="1"/>
  <c r="R3"/>
  <c r="J3"/>
  <c r="D3"/>
  <c r="C3"/>
  <c r="B1"/>
  <c r="Q32" l="1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N6" i="1"/>
  <c r="N32" l="1"/>
  <c r="R6"/>
  <c r="R32" l="1"/>
  <c r="J5" i="2"/>
</calcChain>
</file>

<file path=xl/sharedStrings.xml><?xml version="1.0" encoding="utf-8"?>
<sst xmlns="http://schemas.openxmlformats.org/spreadsheetml/2006/main" count="90" uniqueCount="54">
  <si>
    <t>in CHF 1,000; (+) cantonal burden; (-) cantonal relief</t>
  </si>
  <si>
    <t>STRev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</si>
  <si>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</si>
  <si>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</si>
  <si>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</si>
  <si>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</si>
  <si>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</si>
  <si>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</si>
  <si>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</si>
  <si>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</si>
  <si>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</si>
  <si>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</si>
  <si>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</si>
  <si>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</si>
  <si>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</si>
  <si>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</si>
  <si>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</si>
  <si>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</si>
  <si>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</si>
  <si>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</si>
  <si>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</si>
  <si>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</si>
  <si>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</si>
  <si>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</si>
  <si>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</si>
  <si>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</si>
  <si>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</si>
  <si>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</si>
  <si>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</si>
  <si>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</si>
  <si>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</si>
  <si>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</si>
  <si>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</si>
  <si>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</si>
  <si>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</si>
  <si>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</si>
  <si>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</si>
  <si>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</si>
  <si>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</si>
  <si>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</si>
  <si>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</si>
  <si>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STRev = standardized tax revenue</t>
  </si>
  <si>
    <t>Environment</t>
  </si>
  <si>
    <t>Produktion</t>
  </si>
  <si>
    <t>Type</t>
  </si>
  <si>
    <t>Test</t>
  </si>
  <si>
    <t>WS</t>
  </si>
  <si>
    <t>FA_2009_20120423</t>
  </si>
  <si>
    <t>SWS</t>
  </si>
  <si>
    <t>Zahlungen_2009_20120423</t>
  </si>
  <si>
    <t>RefYear</t>
  </si>
  <si>
    <t>in CHF; (+) cantonal burden; (-) cantonal relief</t>
  </si>
  <si>
    <t>Resource equalization</t>
  </si>
  <si>
    <t>Cost compensation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</si>
</sst>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6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6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30" t="str">
        <f>"Payments "&amp;R35</f>
        <v>Payments 2009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9" t="str">
        <f>"Resource index "&amp;R35</f>
        <v>Resource index 2009</v>
      </c>
      <c r="D3" s="125" t="str">
        <f>"Resource equalization "&amp;R35</f>
        <v>Resource equalization 2009</v>
      </c>
      <c r="E3" s="126"/>
      <c r="F3" s="126"/>
      <c r="G3" s="126"/>
      <c r="H3" s="127"/>
      <c r="I3" s="109" t="s">
        <v>1</v>
      </c>
      <c r="J3" s="128" t="str">
        <f>"Cost compensation "&amp;R35</f>
        <v>Cost compensation 2009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payments "&amp;R35&amp;" net"</f>
        <v>Total payments 2009 net</v>
      </c>
    </row>
    <row r="4" spans="1:19" ht="15.75" customHeight="1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4.75" customHeight="1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13</v>
      </c>
      <c r="P5" s="13" t="s">
        <v>14</v>
      </c>
      <c r="Q5" s="16" t="s">
        <v>6</v>
      </c>
      <c r="R5" s="116"/>
    </row>
    <row r="6" spans="1:19" s="17" customFormat="1" ht="15" customHeight="1">
      <c r="A6" s="18"/>
      <c r="B6" s="19" t="s">
        <v>15</v>
      </c>
      <c r="C6" s="20">
        <v>131.1</v>
      </c>
      <c r="D6" s="21">
        <v>591694.49103888904</v>
      </c>
      <c r="E6" s="22">
        <v>0</v>
      </c>
      <c r="F6" s="22">
        <v>0</v>
      </c>
      <c r="G6" s="22">
        <f t="shared" ref="G6:G31" si="0">SUM(D6:F6)</f>
        <v>591694.49103888904</v>
      </c>
      <c r="H6" s="23">
        <f t="shared" ref="H6:H31" si="1">SUM(E6:F6)</f>
        <v>0</v>
      </c>
      <c r="I6" s="20">
        <v>125.1</v>
      </c>
      <c r="J6" s="24">
        <v>0</v>
      </c>
      <c r="K6" s="22">
        <v>-26081.637590313101</v>
      </c>
      <c r="L6" s="22">
        <v>-61447.510074485799</v>
      </c>
      <c r="M6" s="25">
        <f t="shared" ref="M6:M31" si="2">SUM(J6:L6)</f>
        <v>-87529.147664798904</v>
      </c>
      <c r="N6" s="26">
        <f t="shared" ref="N6:N31" si="3">G6+M6</f>
        <v>504165.34337409015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524791.1104958941</v>
      </c>
    </row>
    <row r="7" spans="1:19" s="17" customFormat="1" ht="15" customHeight="1">
      <c r="A7" s="18"/>
      <c r="B7" s="28" t="s">
        <v>16</v>
      </c>
      <c r="C7" s="29">
        <v>77</v>
      </c>
      <c r="D7" s="30">
        <v>0</v>
      </c>
      <c r="E7" s="31">
        <v>-323996.47309941897</v>
      </c>
      <c r="F7" s="31">
        <v>-458723.874631343</v>
      </c>
      <c r="G7" s="31">
        <f t="shared" si="0"/>
        <v>-782720.34773076198</v>
      </c>
      <c r="H7" s="32">
        <f t="shared" si="1"/>
        <v>-782720.34773076198</v>
      </c>
      <c r="I7" s="29">
        <v>87.8</v>
      </c>
      <c r="J7" s="33">
        <v>-24213.928413870399</v>
      </c>
      <c r="K7" s="31">
        <v>-17621.907934566501</v>
      </c>
      <c r="L7" s="31">
        <v>-445.65448837717099</v>
      </c>
      <c r="M7" s="34">
        <f t="shared" si="2"/>
        <v>-42281.490836814075</v>
      </c>
      <c r="N7" s="35">
        <f t="shared" si="3"/>
        <v>-825001.83856757602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-861043.20526467205</v>
      </c>
    </row>
    <row r="8" spans="1:19" s="17" customFormat="1" ht="15" customHeight="1">
      <c r="A8" s="18"/>
      <c r="B8" s="19" t="s">
        <v>17</v>
      </c>
      <c r="C8" s="20">
        <v>76.5</v>
      </c>
      <c r="D8" s="21">
        <v>0</v>
      </c>
      <c r="E8" s="22">
        <v>-123458.552044108</v>
      </c>
      <c r="F8" s="22">
        <v>-174796.30197292499</v>
      </c>
      <c r="G8" s="22">
        <f t="shared" si="0"/>
        <v>-298254.85401703301</v>
      </c>
      <c r="H8" s="23">
        <f t="shared" si="1"/>
        <v>-298254.85401703301</v>
      </c>
      <c r="I8" s="20">
        <v>87.6</v>
      </c>
      <c r="J8" s="24">
        <v>-6673.0325595106497</v>
      </c>
      <c r="K8" s="22">
        <v>0</v>
      </c>
      <c r="L8" s="22">
        <v>0</v>
      </c>
      <c r="M8" s="25">
        <f t="shared" si="2"/>
        <v>-6673.0325595106497</v>
      </c>
      <c r="N8" s="26">
        <f t="shared" si="3"/>
        <v>-304927.88657654368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-322784.90010006004</v>
      </c>
    </row>
    <row r="9" spans="1:19" s="17" customFormat="1" ht="15" customHeight="1">
      <c r="A9" s="18"/>
      <c r="B9" s="28" t="s">
        <v>18</v>
      </c>
      <c r="C9" s="29">
        <v>60.6</v>
      </c>
      <c r="D9" s="30">
        <v>0</v>
      </c>
      <c r="E9" s="31">
        <v>-27291.9120623911</v>
      </c>
      <c r="F9" s="31">
        <v>-38640.703485424398</v>
      </c>
      <c r="G9" s="31">
        <f t="shared" si="0"/>
        <v>-65932.615547815498</v>
      </c>
      <c r="H9" s="32">
        <f t="shared" si="1"/>
        <v>-65932.615547815498</v>
      </c>
      <c r="I9" s="29">
        <v>85.7</v>
      </c>
      <c r="J9" s="33">
        <v>-10867.1588483672</v>
      </c>
      <c r="K9" s="31">
        <v>0</v>
      </c>
      <c r="L9" s="31">
        <v>0</v>
      </c>
      <c r="M9" s="34">
        <f t="shared" si="2"/>
        <v>-10867.1588483672</v>
      </c>
      <c r="N9" s="35">
        <f t="shared" si="3"/>
        <v>-76799.774396182693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-76214.854622209328</v>
      </c>
    </row>
    <row r="10" spans="1:19" s="17" customFormat="1" ht="15" customHeight="1">
      <c r="A10" s="18"/>
      <c r="B10" s="19" t="s">
        <v>19</v>
      </c>
      <c r="C10" s="20">
        <v>124.9</v>
      </c>
      <c r="D10" s="21">
        <v>49950.718218912298</v>
      </c>
      <c r="E10" s="22">
        <v>0</v>
      </c>
      <c r="F10" s="22">
        <v>0</v>
      </c>
      <c r="G10" s="22">
        <f t="shared" si="0"/>
        <v>49950.718218912298</v>
      </c>
      <c r="H10" s="23">
        <f t="shared" si="1"/>
        <v>0</v>
      </c>
      <c r="I10" s="20">
        <v>120</v>
      </c>
      <c r="J10" s="24">
        <v>-6044.9605077275901</v>
      </c>
      <c r="K10" s="22">
        <v>0</v>
      </c>
      <c r="L10" s="22">
        <v>0</v>
      </c>
      <c r="M10" s="25">
        <f t="shared" si="2"/>
        <v>-6044.9605077275901</v>
      </c>
      <c r="N10" s="26">
        <f t="shared" si="3"/>
        <v>43905.757711184706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46065.120794172777</v>
      </c>
    </row>
    <row r="11" spans="1:19" s="17" customFormat="1" ht="15" customHeight="1">
      <c r="A11" s="18"/>
      <c r="B11" s="28" t="s">
        <v>20</v>
      </c>
      <c r="C11" s="29">
        <v>66.099999999999994</v>
      </c>
      <c r="D11" s="30">
        <v>0</v>
      </c>
      <c r="E11" s="31">
        <v>-20505.7236255844</v>
      </c>
      <c r="F11" s="31">
        <v>-29032.6153975175</v>
      </c>
      <c r="G11" s="31">
        <f t="shared" si="0"/>
        <v>-49538.3390231019</v>
      </c>
      <c r="H11" s="32">
        <f t="shared" si="1"/>
        <v>-49538.3390231019</v>
      </c>
      <c r="I11" s="29">
        <v>85.8</v>
      </c>
      <c r="J11" s="33">
        <v>-5447.2930391807104</v>
      </c>
      <c r="K11" s="31">
        <v>0</v>
      </c>
      <c r="L11" s="31">
        <v>0</v>
      </c>
      <c r="M11" s="34">
        <f t="shared" si="2"/>
        <v>-5447.2930391807104</v>
      </c>
      <c r="N11" s="35">
        <f t="shared" si="3"/>
        <v>-54985.63206228261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-63883.780078717667</v>
      </c>
    </row>
    <row r="12" spans="1:19" s="17" customFormat="1" ht="15" customHeight="1">
      <c r="A12" s="18"/>
      <c r="B12" s="19" t="s">
        <v>21</v>
      </c>
      <c r="C12" s="20">
        <v>127.7</v>
      </c>
      <c r="D12" s="21">
        <v>15931.504187815401</v>
      </c>
      <c r="E12" s="22">
        <v>0</v>
      </c>
      <c r="F12" s="22">
        <v>0</v>
      </c>
      <c r="G12" s="22">
        <f t="shared" si="0"/>
        <v>15931.504187815401</v>
      </c>
      <c r="H12" s="23">
        <f t="shared" si="1"/>
        <v>0</v>
      </c>
      <c r="I12" s="20">
        <v>122.3</v>
      </c>
      <c r="J12" s="24">
        <v>-1480.26384002445</v>
      </c>
      <c r="K12" s="22">
        <v>0</v>
      </c>
      <c r="L12" s="22">
        <v>0</v>
      </c>
      <c r="M12" s="25">
        <f t="shared" si="2"/>
        <v>-1480.26384002445</v>
      </c>
      <c r="N12" s="26">
        <f t="shared" si="3"/>
        <v>14451.24034779095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15074.520005593717</v>
      </c>
    </row>
    <row r="13" spans="1:19" s="17" customFormat="1" ht="15" customHeight="1">
      <c r="A13" s="18"/>
      <c r="B13" s="28" t="s">
        <v>22</v>
      </c>
      <c r="C13" s="29">
        <v>68.900000000000006</v>
      </c>
      <c r="D13" s="30">
        <v>0</v>
      </c>
      <c r="E13" s="31">
        <v>-20706.093245534201</v>
      </c>
      <c r="F13" s="31">
        <v>-29316.304684448602</v>
      </c>
      <c r="G13" s="31">
        <f t="shared" si="0"/>
        <v>-50022.397929982806</v>
      </c>
      <c r="H13" s="32">
        <f t="shared" si="1"/>
        <v>-50022.397929982806</v>
      </c>
      <c r="I13" s="29">
        <v>86.2</v>
      </c>
      <c r="J13" s="33">
        <v>-5146.40004372776</v>
      </c>
      <c r="K13" s="31">
        <v>0</v>
      </c>
      <c r="L13" s="31">
        <v>0</v>
      </c>
      <c r="M13" s="34">
        <f t="shared" si="2"/>
        <v>-5146.40004372776</v>
      </c>
      <c r="N13" s="35">
        <f t="shared" si="3"/>
        <v>-55168.797973710563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-62690.094654279783</v>
      </c>
    </row>
    <row r="14" spans="1:19" s="17" customFormat="1" ht="15" customHeight="1">
      <c r="A14" s="18"/>
      <c r="B14" s="19" t="s">
        <v>23</v>
      </c>
      <c r="C14" s="20">
        <v>223.8</v>
      </c>
      <c r="D14" s="21">
        <v>192487.980331842</v>
      </c>
      <c r="E14" s="22">
        <v>0</v>
      </c>
      <c r="F14" s="22">
        <v>0</v>
      </c>
      <c r="G14" s="22">
        <f t="shared" si="0"/>
        <v>192487.980331842</v>
      </c>
      <c r="H14" s="23">
        <f t="shared" si="1"/>
        <v>0</v>
      </c>
      <c r="I14" s="20">
        <v>199.6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192487.980331842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194146.02272538154</v>
      </c>
    </row>
    <row r="15" spans="1:19" s="17" customFormat="1" ht="15" customHeight="1">
      <c r="A15" s="18"/>
      <c r="B15" s="28" t="s">
        <v>24</v>
      </c>
      <c r="C15" s="29">
        <v>73.5</v>
      </c>
      <c r="D15" s="30">
        <v>0</v>
      </c>
      <c r="E15" s="31">
        <v>-106124.040453016</v>
      </c>
      <c r="F15" s="31">
        <v>-150253.58320244</v>
      </c>
      <c r="G15" s="31">
        <f t="shared" si="0"/>
        <v>-256377.623655456</v>
      </c>
      <c r="H15" s="32">
        <f t="shared" si="1"/>
        <v>-256377.623655456</v>
      </c>
      <c r="I15" s="29">
        <v>86.9</v>
      </c>
      <c r="J15" s="33">
        <v>-11956.996719872701</v>
      </c>
      <c r="K15" s="31">
        <v>0</v>
      </c>
      <c r="L15" s="31">
        <v>0</v>
      </c>
      <c r="M15" s="34">
        <f t="shared" si="2"/>
        <v>-11956.996719872701</v>
      </c>
      <c r="N15" s="35">
        <f t="shared" si="3"/>
        <v>-268334.6203753287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-401608.05075331469</v>
      </c>
    </row>
    <row r="16" spans="1:19" s="17" customFormat="1" ht="15" customHeight="1">
      <c r="A16" s="18"/>
      <c r="B16" s="19" t="s">
        <v>25</v>
      </c>
      <c r="C16" s="20">
        <v>76.2</v>
      </c>
      <c r="D16" s="21">
        <v>0</v>
      </c>
      <c r="E16" s="22">
        <v>-87571.328533078704</v>
      </c>
      <c r="F16" s="22">
        <v>-123986.100055421</v>
      </c>
      <c r="G16" s="22">
        <f t="shared" si="0"/>
        <v>-211557.42858849972</v>
      </c>
      <c r="H16" s="23">
        <f t="shared" si="1"/>
        <v>-211557.42858849972</v>
      </c>
      <c r="I16" s="20">
        <v>87.6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-211557.42858849972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-207458.94218530014</v>
      </c>
    </row>
    <row r="17" spans="1:31" s="17" customFormat="1" ht="15" customHeight="1">
      <c r="A17" s="18"/>
      <c r="B17" s="28" t="s">
        <v>26</v>
      </c>
      <c r="C17" s="29">
        <v>139.4</v>
      </c>
      <c r="D17" s="30">
        <v>111568.53621803</v>
      </c>
      <c r="E17" s="31">
        <v>0</v>
      </c>
      <c r="F17" s="31">
        <v>0</v>
      </c>
      <c r="G17" s="31">
        <f t="shared" si="0"/>
        <v>111568.53621803</v>
      </c>
      <c r="H17" s="32">
        <f t="shared" si="1"/>
        <v>0</v>
      </c>
      <c r="I17" s="29">
        <v>131.69999999999999</v>
      </c>
      <c r="J17" s="33">
        <v>0</v>
      </c>
      <c r="K17" s="31">
        <v>-27795.1978659378</v>
      </c>
      <c r="L17" s="31">
        <v>-20657.3480806521</v>
      </c>
      <c r="M17" s="34">
        <f t="shared" si="2"/>
        <v>-48452.545946589904</v>
      </c>
      <c r="N17" s="35">
        <f t="shared" si="3"/>
        <v>63115.990271440096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66367.471018389668</v>
      </c>
    </row>
    <row r="18" spans="1:31" s="17" customFormat="1" ht="15" customHeight="1">
      <c r="A18" s="18"/>
      <c r="B18" s="19" t="s">
        <v>27</v>
      </c>
      <c r="C18" s="20">
        <v>102.6</v>
      </c>
      <c r="D18" s="21">
        <v>10185.398341607999</v>
      </c>
      <c r="E18" s="22">
        <v>0</v>
      </c>
      <c r="F18" s="22">
        <v>0</v>
      </c>
      <c r="G18" s="22">
        <f t="shared" si="0"/>
        <v>10185.398341607999</v>
      </c>
      <c r="H18" s="23">
        <f t="shared" si="1"/>
        <v>0</v>
      </c>
      <c r="I18" s="20">
        <v>102.1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10185.398341607999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14528.545094456469</v>
      </c>
    </row>
    <row r="19" spans="1:31" s="17" customFormat="1" ht="15" customHeight="1">
      <c r="A19" s="18"/>
      <c r="B19" s="28" t="s">
        <v>28</v>
      </c>
      <c r="C19" s="29">
        <v>96.1</v>
      </c>
      <c r="D19" s="30">
        <v>0</v>
      </c>
      <c r="E19" s="31">
        <v>-1532.1287640226101</v>
      </c>
      <c r="F19" s="31">
        <v>-2169.2336226478601</v>
      </c>
      <c r="G19" s="31">
        <f t="shared" si="0"/>
        <v>-3701.3623866704702</v>
      </c>
      <c r="H19" s="32">
        <f t="shared" si="1"/>
        <v>-3701.3623866704702</v>
      </c>
      <c r="I19" s="29">
        <v>96.7</v>
      </c>
      <c r="J19" s="33">
        <v>0</v>
      </c>
      <c r="K19" s="31">
        <v>-2638.8755887443299</v>
      </c>
      <c r="L19" s="31">
        <v>0</v>
      </c>
      <c r="M19" s="34">
        <f t="shared" si="2"/>
        <v>-2638.8755887443299</v>
      </c>
      <c r="N19" s="35">
        <f t="shared" si="3"/>
        <v>-6340.2379754148005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-11742.53114025887</v>
      </c>
    </row>
    <row r="20" spans="1:31" s="17" customFormat="1" ht="15" customHeight="1">
      <c r="A20" s="18"/>
      <c r="B20" s="19" t="s">
        <v>29</v>
      </c>
      <c r="C20" s="20">
        <v>76</v>
      </c>
      <c r="D20" s="21">
        <v>0</v>
      </c>
      <c r="E20" s="22">
        <v>-18937.8047564439</v>
      </c>
      <c r="F20" s="22">
        <v>-26812.7090760711</v>
      </c>
      <c r="G20" s="22">
        <f t="shared" si="0"/>
        <v>-45750.513832515004</v>
      </c>
      <c r="H20" s="23">
        <f t="shared" si="1"/>
        <v>-45750.513832515004</v>
      </c>
      <c r="I20" s="20">
        <v>87.4</v>
      </c>
      <c r="J20" s="24">
        <v>-17600.905817077099</v>
      </c>
      <c r="K20" s="22">
        <v>0</v>
      </c>
      <c r="L20" s="22">
        <v>0</v>
      </c>
      <c r="M20" s="25">
        <f t="shared" si="2"/>
        <v>-17600.905817077099</v>
      </c>
      <c r="N20" s="26">
        <f t="shared" si="3"/>
        <v>-63351.419649592106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-62449.418978494446</v>
      </c>
    </row>
    <row r="21" spans="1:31" s="17" customFormat="1" ht="15" customHeight="1">
      <c r="A21" s="18"/>
      <c r="B21" s="28" t="s">
        <v>30</v>
      </c>
      <c r="C21" s="29">
        <v>81.099999999999994</v>
      </c>
      <c r="D21" s="30">
        <v>0</v>
      </c>
      <c r="E21" s="31">
        <v>-3657.4443871931599</v>
      </c>
      <c r="F21" s="31">
        <v>-5178.3189011044497</v>
      </c>
      <c r="G21" s="31">
        <f t="shared" si="0"/>
        <v>-8835.7632882976104</v>
      </c>
      <c r="H21" s="32">
        <f t="shared" si="1"/>
        <v>-8835.7632882976104</v>
      </c>
      <c r="I21" s="29">
        <v>89</v>
      </c>
      <c r="J21" s="33">
        <v>-8173.4737183439902</v>
      </c>
      <c r="K21" s="31">
        <v>0</v>
      </c>
      <c r="L21" s="31">
        <v>0</v>
      </c>
      <c r="M21" s="34">
        <f t="shared" si="2"/>
        <v>-8173.4737183439902</v>
      </c>
      <c r="N21" s="35">
        <f t="shared" si="3"/>
        <v>-17009.237006641601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-16762.019143213234</v>
      </c>
    </row>
    <row r="22" spans="1:31" s="17" customFormat="1" ht="15" customHeight="1">
      <c r="A22" s="18"/>
      <c r="B22" s="19" t="s">
        <v>31</v>
      </c>
      <c r="C22" s="20">
        <v>76.099999999999994</v>
      </c>
      <c r="D22" s="21">
        <v>0</v>
      </c>
      <c r="E22" s="22">
        <v>-164468.85665072399</v>
      </c>
      <c r="F22" s="22">
        <v>-232859.914977704</v>
      </c>
      <c r="G22" s="22">
        <f t="shared" si="0"/>
        <v>-397328.77162842802</v>
      </c>
      <c r="H22" s="23">
        <f t="shared" si="1"/>
        <v>-397328.77162842802</v>
      </c>
      <c r="I22" s="20">
        <v>87.5</v>
      </c>
      <c r="J22" s="24">
        <v>-1984.74951849644</v>
      </c>
      <c r="K22" s="22">
        <v>0</v>
      </c>
      <c r="L22" s="22">
        <v>0</v>
      </c>
      <c r="M22" s="25">
        <f t="shared" si="2"/>
        <v>-1984.74951849644</v>
      </c>
      <c r="N22" s="26">
        <f t="shared" si="3"/>
        <v>-399313.52114692447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-391737.89998297329</v>
      </c>
    </row>
    <row r="23" spans="1:31" s="17" customFormat="1" ht="15" customHeight="1">
      <c r="A23" s="18"/>
      <c r="B23" s="28" t="s">
        <v>32</v>
      </c>
      <c r="C23" s="29">
        <v>80.599999999999994</v>
      </c>
      <c r="D23" s="30">
        <v>0</v>
      </c>
      <c r="E23" s="31">
        <v>-49344.511616105498</v>
      </c>
      <c r="F23" s="31">
        <v>-69863.431980586596</v>
      </c>
      <c r="G23" s="31">
        <f t="shared" si="0"/>
        <v>-119207.94359669209</v>
      </c>
      <c r="H23" s="32">
        <f t="shared" si="1"/>
        <v>-119207.94359669209</v>
      </c>
      <c r="I23" s="29">
        <v>88.8</v>
      </c>
      <c r="J23" s="33">
        <v>-137036.368898721</v>
      </c>
      <c r="K23" s="31">
        <v>0</v>
      </c>
      <c r="L23" s="31">
        <v>0</v>
      </c>
      <c r="M23" s="34">
        <f t="shared" si="2"/>
        <v>-137036.368898721</v>
      </c>
      <c r="N23" s="35">
        <f t="shared" si="3"/>
        <v>-256244.31249541309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-253058.4435506452</v>
      </c>
    </row>
    <row r="24" spans="1:31" s="17" customFormat="1" ht="15" customHeight="1">
      <c r="A24" s="18"/>
      <c r="B24" s="19" t="s">
        <v>33</v>
      </c>
      <c r="C24" s="20">
        <v>88.8</v>
      </c>
      <c r="D24" s="21">
        <v>0</v>
      </c>
      <c r="E24" s="22">
        <v>-61181.280595732998</v>
      </c>
      <c r="F24" s="22">
        <v>-86622.282709756895</v>
      </c>
      <c r="G24" s="22">
        <f t="shared" si="0"/>
        <v>-147803.56330548989</v>
      </c>
      <c r="H24" s="23">
        <f t="shared" si="1"/>
        <v>-147803.56330548989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-147803.56330548989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-138670.73523333811</v>
      </c>
    </row>
    <row r="25" spans="1:31" s="17" customFormat="1" ht="15" customHeight="1">
      <c r="A25" s="18"/>
      <c r="B25" s="28" t="s">
        <v>34</v>
      </c>
      <c r="C25" s="29">
        <v>73.400000000000006</v>
      </c>
      <c r="D25" s="30">
        <v>0</v>
      </c>
      <c r="E25" s="31">
        <v>-98636.990859013793</v>
      </c>
      <c r="F25" s="31">
        <v>-139653.19497456099</v>
      </c>
      <c r="G25" s="31">
        <f t="shared" si="0"/>
        <v>-238290.1858335748</v>
      </c>
      <c r="H25" s="32">
        <f t="shared" si="1"/>
        <v>-238290.1858335748</v>
      </c>
      <c r="I25" s="29">
        <v>86.9</v>
      </c>
      <c r="J25" s="33">
        <v>-3727.7799549861002</v>
      </c>
      <c r="K25" s="31">
        <v>0</v>
      </c>
      <c r="L25" s="31">
        <v>0</v>
      </c>
      <c r="M25" s="34">
        <f t="shared" si="2"/>
        <v>-3727.7799549861002</v>
      </c>
      <c r="N25" s="35">
        <f t="shared" si="3"/>
        <v>-242017.96578856089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-238175.41989512369</v>
      </c>
    </row>
    <row r="26" spans="1:31" s="17" customFormat="1" ht="15" customHeight="1">
      <c r="A26" s="18"/>
      <c r="B26" s="19" t="s">
        <v>35</v>
      </c>
      <c r="C26" s="20">
        <v>95.9</v>
      </c>
      <c r="D26" s="21">
        <v>0</v>
      </c>
      <c r="E26" s="22">
        <v>-7138.6357712980498</v>
      </c>
      <c r="F26" s="22">
        <v>-10107.093541067399</v>
      </c>
      <c r="G26" s="22">
        <f t="shared" si="0"/>
        <v>-17245.729312365449</v>
      </c>
      <c r="H26" s="23">
        <f t="shared" si="1"/>
        <v>-17245.729312365449</v>
      </c>
      <c r="I26" s="20">
        <v>96.6</v>
      </c>
      <c r="J26" s="24">
        <v>-13739.951692730299</v>
      </c>
      <c r="K26" s="22">
        <v>-17701.736433919301</v>
      </c>
      <c r="L26" s="22">
        <v>0</v>
      </c>
      <c r="M26" s="25">
        <f t="shared" si="2"/>
        <v>-31441.688126649598</v>
      </c>
      <c r="N26" s="26">
        <f t="shared" si="3"/>
        <v>-48687.417439015044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-43500.827482885332</v>
      </c>
    </row>
    <row r="27" spans="1:31" s="17" customFormat="1" ht="15" customHeight="1">
      <c r="A27" s="18"/>
      <c r="B27" s="28" t="s">
        <v>36</v>
      </c>
      <c r="C27" s="29">
        <v>101.5</v>
      </c>
      <c r="D27" s="30">
        <v>14612.153160779</v>
      </c>
      <c r="E27" s="31">
        <v>0</v>
      </c>
      <c r="F27" s="31">
        <v>0</v>
      </c>
      <c r="G27" s="31">
        <f t="shared" si="0"/>
        <v>14612.153160779</v>
      </c>
      <c r="H27" s="32">
        <f t="shared" si="1"/>
        <v>0</v>
      </c>
      <c r="I27" s="29">
        <v>101.2</v>
      </c>
      <c r="J27" s="33">
        <v>0</v>
      </c>
      <c r="K27" s="31">
        <v>-47525.640824616501</v>
      </c>
      <c r="L27" s="31">
        <v>-3295.5530977245899</v>
      </c>
      <c r="M27" s="34">
        <f t="shared" si="2"/>
        <v>-50821.193922341088</v>
      </c>
      <c r="N27" s="35">
        <f t="shared" si="3"/>
        <v>-36209.040761562086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-25596.222372737386</v>
      </c>
    </row>
    <row r="28" spans="1:31" s="17" customFormat="1" ht="15" customHeight="1">
      <c r="A28" s="18"/>
      <c r="B28" s="19" t="s">
        <v>37</v>
      </c>
      <c r="C28" s="20">
        <v>68.099999999999994</v>
      </c>
      <c r="D28" s="21">
        <v>0</v>
      </c>
      <c r="E28" s="22">
        <v>-161581.97401881899</v>
      </c>
      <c r="F28" s="22">
        <v>-228772.58040321001</v>
      </c>
      <c r="G28" s="22">
        <f t="shared" si="0"/>
        <v>-390354.554422029</v>
      </c>
      <c r="H28" s="23">
        <f t="shared" si="1"/>
        <v>-390354.554422029</v>
      </c>
      <c r="I28" s="20">
        <v>86</v>
      </c>
      <c r="J28" s="24">
        <v>-69837.950629611805</v>
      </c>
      <c r="K28" s="22">
        <v>0</v>
      </c>
      <c r="L28" s="22">
        <v>0</v>
      </c>
      <c r="M28" s="25">
        <f t="shared" si="2"/>
        <v>-69837.950629611805</v>
      </c>
      <c r="N28" s="26">
        <f t="shared" si="3"/>
        <v>-460192.50505164079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-455579.81158989406</v>
      </c>
    </row>
    <row r="29" spans="1:31" s="17" customFormat="1" ht="15" customHeight="1">
      <c r="A29" s="18"/>
      <c r="B29" s="28" t="s">
        <v>38</v>
      </c>
      <c r="C29" s="29">
        <v>97.5</v>
      </c>
      <c r="D29" s="30">
        <v>0</v>
      </c>
      <c r="E29" s="31">
        <v>-1731.5915130508799</v>
      </c>
      <c r="F29" s="31">
        <v>-2451.63893466738</v>
      </c>
      <c r="G29" s="31">
        <f t="shared" si="0"/>
        <v>-4183.2304477182597</v>
      </c>
      <c r="H29" s="32">
        <f t="shared" si="1"/>
        <v>-4183.2304477182597</v>
      </c>
      <c r="I29" s="29">
        <v>97.8</v>
      </c>
      <c r="J29" s="33">
        <v>-22835.435512305899</v>
      </c>
      <c r="K29" s="31">
        <v>-11851.3757556493</v>
      </c>
      <c r="L29" s="31">
        <v>0</v>
      </c>
      <c r="M29" s="34">
        <f t="shared" si="2"/>
        <v>-34686.8112679552</v>
      </c>
      <c r="N29" s="35">
        <f t="shared" si="3"/>
        <v>-38870.041715673462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-144887.60866934815</v>
      </c>
    </row>
    <row r="30" spans="1:31" s="17" customFormat="1" ht="15" customHeight="1">
      <c r="A30" s="18"/>
      <c r="B30" s="19" t="s">
        <v>39</v>
      </c>
      <c r="C30" s="20">
        <v>151.19999999999999</v>
      </c>
      <c r="D30" s="21">
        <v>328596.20761753002</v>
      </c>
      <c r="E30" s="22">
        <v>0</v>
      </c>
      <c r="F30" s="22">
        <v>0</v>
      </c>
      <c r="G30" s="22">
        <f t="shared" si="0"/>
        <v>328596.20761753002</v>
      </c>
      <c r="H30" s="23">
        <f t="shared" si="1"/>
        <v>0</v>
      </c>
      <c r="I30" s="20">
        <v>141.1</v>
      </c>
      <c r="J30" s="24">
        <v>0</v>
      </c>
      <c r="K30" s="22">
        <v>-82783.592690330101</v>
      </c>
      <c r="L30" s="22">
        <v>-31153.9166007983</v>
      </c>
      <c r="M30" s="25">
        <f t="shared" si="2"/>
        <v>-113937.5092911284</v>
      </c>
      <c r="N30" s="26">
        <f t="shared" si="3"/>
        <v>214658.69832640162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221555.6157425429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40</v>
      </c>
      <c r="C31" s="38">
        <v>68.7</v>
      </c>
      <c r="D31" s="39">
        <v>0</v>
      </c>
      <c r="E31" s="40">
        <v>-37161.6471198703</v>
      </c>
      <c r="F31" s="40">
        <v>-52614.568891552997</v>
      </c>
      <c r="G31" s="40">
        <f t="shared" si="0"/>
        <v>-89776.216011423297</v>
      </c>
      <c r="H31" s="41">
        <f t="shared" si="1"/>
        <v>-89776.216011423297</v>
      </c>
      <c r="I31" s="38">
        <v>86.1</v>
      </c>
      <c r="J31" s="42">
        <v>-4233.2973115607301</v>
      </c>
      <c r="K31" s="40">
        <v>0</v>
      </c>
      <c r="L31" s="40">
        <v>0</v>
      </c>
      <c r="M31" s="43">
        <f t="shared" si="2"/>
        <v>-4233.2973115607301</v>
      </c>
      <c r="N31" s="44">
        <f t="shared" si="3"/>
        <v>-94009.513322984028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-112256.4137244188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1315026.9891154058</v>
      </c>
      <c r="E32" s="49">
        <f>SUM(E6:E31)</f>
        <v>-1315026.9891154056</v>
      </c>
      <c r="F32" s="49">
        <f>SUM(F6:F31)</f>
        <v>-1861854.4514424494</v>
      </c>
      <c r="G32" s="49">
        <f>SUM(G6:G31)</f>
        <v>-1861854.4514424491</v>
      </c>
      <c r="H32" s="50">
        <f>SUM(H6:H31)</f>
        <v>-3176881.4405578552</v>
      </c>
      <c r="I32" s="51"/>
      <c r="J32" s="52">
        <f t="shared" ref="J32:R32" si="6">SUM(J6:J31)</f>
        <v>-350999.94702611479</v>
      </c>
      <c r="K32" s="49">
        <f t="shared" si="6"/>
        <v>-233999.9646840769</v>
      </c>
      <c r="L32" s="49">
        <f t="shared" si="6"/>
        <v>-116999.98234203797</v>
      </c>
      <c r="M32" s="53">
        <f t="shared" si="6"/>
        <v>-701999.89405222971</v>
      </c>
      <c r="N32" s="54">
        <f t="shared" si="6"/>
        <v>-2563854.3454946792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-2807572.7735454524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41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2009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0"/>
  <sheetViews>
    <sheetView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30" t="str">
        <f>"Payments per capita "&amp;Payments!R35</f>
        <v>Payments per capita 2009</v>
      </c>
      <c r="C1" s="130"/>
      <c r="D1" s="130"/>
      <c r="E1" s="130"/>
      <c r="F1" s="130"/>
      <c r="G1" s="130"/>
      <c r="H1" s="130"/>
      <c r="I1" s="130"/>
      <c r="J1" s="130"/>
      <c r="K1" s="4"/>
    </row>
    <row r="2" spans="1:12" ht="22.5" customHeight="1">
      <c r="B2" s="5" t="s">
        <v>51</v>
      </c>
      <c r="L2" s="63" t="str">
        <f>Payments!J35</f>
        <v>FA_2009_20120423</v>
      </c>
    </row>
    <row r="3" spans="1:12" ht="15.75" customHeight="1">
      <c r="A3" s="6"/>
      <c r="B3" s="64"/>
      <c r="C3" s="137" t="str">
        <f>"RI "&amp;Payments!R35</f>
        <v>RI 2009</v>
      </c>
      <c r="D3" s="136" t="s">
        <v>52</v>
      </c>
      <c r="E3" s="133" t="s">
        <v>53</v>
      </c>
      <c r="F3" s="134"/>
      <c r="G3" s="134"/>
      <c r="H3" s="135"/>
      <c r="I3" s="131" t="s">
        <v>3</v>
      </c>
      <c r="J3" s="131" t="str">
        <f>"Total payments "&amp;Payments!R35&amp;" net"</f>
        <v>Total payments 2009 net</v>
      </c>
      <c r="L3" s="138" t="str">
        <f>"Relevant population "&amp;Payments!R35</f>
        <v>Relevant population 2009</v>
      </c>
    </row>
    <row r="4" spans="1:12" ht="27" customHeight="1">
      <c r="A4" s="6"/>
      <c r="B4" s="65"/>
      <c r="C4" s="137"/>
      <c r="D4" s="136"/>
      <c r="E4" s="66" t="s">
        <v>7</v>
      </c>
      <c r="F4" s="67" t="s">
        <v>8</v>
      </c>
      <c r="G4" s="67" t="s">
        <v>9</v>
      </c>
      <c r="H4" s="68" t="s">
        <v>6</v>
      </c>
      <c r="I4" s="132"/>
      <c r="J4" s="131"/>
      <c r="L4" s="139"/>
    </row>
    <row r="5" spans="1:12" s="17" customFormat="1" ht="15" customHeight="1">
      <c r="A5" s="18"/>
      <c r="B5" s="69" t="s">
        <v>15</v>
      </c>
      <c r="C5" s="70">
        <f>Payments!C6</f>
        <v>131.1</v>
      </c>
      <c r="D5" s="71">
        <f>Payments!G6/L5*1000</f>
        <v>461.71904172876953</v>
      </c>
      <c r="E5" s="72">
        <f>Payments!J6/$L5*1000</f>
        <v>0</v>
      </c>
      <c r="F5" s="73">
        <f>Payments!K6/$L5*1000</f>
        <v>-20.352375925915005</v>
      </c>
      <c r="G5" s="73">
        <f>Payments!L6/$L5*1000</f>
        <v>-47.949551496408617</v>
      </c>
      <c r="H5" s="74">
        <f t="shared" ref="H5:H30" si="0">SUM(E5:G5)</f>
        <v>-68.301927422323615</v>
      </c>
      <c r="I5" s="75">
        <f>Payments!Q6/L5*1000</f>
        <v>16.094977348325838</v>
      </c>
      <c r="J5" s="76">
        <f>Payments!R6/L5*1000</f>
        <v>409.51209165477172</v>
      </c>
      <c r="L5" s="77">
        <v>1281503.33333333</v>
      </c>
    </row>
    <row r="6" spans="1:12" s="17" customFormat="1" ht="15" customHeight="1">
      <c r="A6" s="18"/>
      <c r="B6" s="78" t="s">
        <v>16</v>
      </c>
      <c r="C6" s="29">
        <f>Payments!C7</f>
        <v>77</v>
      </c>
      <c r="D6" s="79">
        <f>Payments!G7/L6*1000</f>
        <v>-814.21697435541023</v>
      </c>
      <c r="E6" s="80">
        <f>Payments!J7/$L6*1000</f>
        <v>-25.188295650621953</v>
      </c>
      <c r="F6" s="81">
        <f>Payments!K7/$L6*1000</f>
        <v>-18.331012605523497</v>
      </c>
      <c r="G6" s="81">
        <f>Payments!L7/$L6*1000</f>
        <v>-0.46358760211914646</v>
      </c>
      <c r="H6" s="82">
        <f t="shared" si="0"/>
        <v>-43.982895858264598</v>
      </c>
      <c r="I6" s="83">
        <f>Payments!Q7/L6*1000</f>
        <v>-37.491669443398109</v>
      </c>
      <c r="J6" s="84">
        <f>Payments!R7/L6*1000</f>
        <v>-895.69153965707289</v>
      </c>
      <c r="L6" s="85">
        <v>961316.66666666698</v>
      </c>
    </row>
    <row r="7" spans="1:12" s="17" customFormat="1" ht="15" customHeight="1">
      <c r="A7" s="18"/>
      <c r="B7" s="86" t="s">
        <v>17</v>
      </c>
      <c r="C7" s="20">
        <f>Payments!C8</f>
        <v>76.5</v>
      </c>
      <c r="D7" s="87">
        <f>Payments!G8/L7*1000</f>
        <v>-842.2383663346385</v>
      </c>
      <c r="E7" s="88">
        <f>Payments!J8/$L7*1000</f>
        <v>-18.843897980949986</v>
      </c>
      <c r="F7" s="89">
        <f>Payments!K8/$L7*1000</f>
        <v>0</v>
      </c>
      <c r="G7" s="89">
        <f>Payments!L8/$L7*1000</f>
        <v>0</v>
      </c>
      <c r="H7" s="90">
        <f t="shared" si="0"/>
        <v>-18.843897980949986</v>
      </c>
      <c r="I7" s="91">
        <f>Payments!Q8/L7*1000</f>
        <v>-50.426209984844199</v>
      </c>
      <c r="J7" s="92">
        <f>Payments!R8/L7*1000</f>
        <v>-911.50847430043279</v>
      </c>
      <c r="L7" s="77">
        <v>354121.66666666698</v>
      </c>
    </row>
    <row r="8" spans="1:12" s="17" customFormat="1" ht="15" customHeight="1">
      <c r="A8" s="18"/>
      <c r="B8" s="78" t="s">
        <v>18</v>
      </c>
      <c r="C8" s="29">
        <f>Payments!C9</f>
        <v>60.6</v>
      </c>
      <c r="D8" s="79">
        <f>Payments!G9/L8*1000</f>
        <v>-1899.0355582768946</v>
      </c>
      <c r="E8" s="80">
        <f>Payments!J9/$L8*1000</f>
        <v>-313.00322153193355</v>
      </c>
      <c r="F8" s="81">
        <f>Payments!K9/$L8*1000</f>
        <v>0</v>
      </c>
      <c r="G8" s="81">
        <f>Payments!L9/$L8*1000</f>
        <v>0</v>
      </c>
      <c r="H8" s="82">
        <f t="shared" si="0"/>
        <v>-313.00322153193355</v>
      </c>
      <c r="I8" s="83">
        <f>Payments!Q9/L8*1000</f>
        <v>16.847252915503297</v>
      </c>
      <c r="J8" s="84">
        <f>Payments!R9/L8*1000</f>
        <v>-2195.1915268933244</v>
      </c>
      <c r="L8" s="85">
        <v>34719</v>
      </c>
    </row>
    <row r="9" spans="1:12" s="17" customFormat="1" ht="15" customHeight="1">
      <c r="A9" s="18"/>
      <c r="B9" s="86" t="s">
        <v>19</v>
      </c>
      <c r="C9" s="20">
        <f>Payments!C10</f>
        <v>124.9</v>
      </c>
      <c r="D9" s="87">
        <f>Payments!G10/L9*1000</f>
        <v>369.67215881177833</v>
      </c>
      <c r="E9" s="88">
        <f>Payments!J10/$L9*1000</f>
        <v>-44.737166561451346</v>
      </c>
      <c r="F9" s="89">
        <f>Payments!K10/$L9*1000</f>
        <v>0</v>
      </c>
      <c r="G9" s="89">
        <f>Payments!L10/$L9*1000</f>
        <v>0</v>
      </c>
      <c r="H9" s="90">
        <f t="shared" si="0"/>
        <v>-44.737166561451346</v>
      </c>
      <c r="I9" s="91">
        <f>Payments!Q10/L9*1000</f>
        <v>15.980879575109329</v>
      </c>
      <c r="J9" s="92">
        <f>Payments!R10/L9*1000</f>
        <v>340.91587182543628</v>
      </c>
      <c r="L9" s="77">
        <v>135121.66666666701</v>
      </c>
    </row>
    <row r="10" spans="1:12" s="17" customFormat="1" ht="15" customHeight="1">
      <c r="A10" s="18"/>
      <c r="B10" s="78" t="s">
        <v>20</v>
      </c>
      <c r="C10" s="29">
        <f>Payments!C11</f>
        <v>66.099999999999994</v>
      </c>
      <c r="D10" s="79">
        <f>Payments!G11/L10*1000</f>
        <v>-1498.9965713091751</v>
      </c>
      <c r="E10" s="80">
        <f>Payments!J11/$L10*1000</f>
        <v>-164.8313962412083</v>
      </c>
      <c r="F10" s="81">
        <f>Payments!K11/$L10*1000</f>
        <v>0</v>
      </c>
      <c r="G10" s="81">
        <f>Payments!L11/$L10*1000</f>
        <v>0</v>
      </c>
      <c r="H10" s="82">
        <f t="shared" si="0"/>
        <v>-164.8313962412083</v>
      </c>
      <c r="I10" s="83">
        <f>Payments!Q11/L10*1000</f>
        <v>-269.25192952911596</v>
      </c>
      <c r="J10" s="84">
        <f>Payments!R11/L10*1000</f>
        <v>-1933.0798970794992</v>
      </c>
      <c r="L10" s="85">
        <v>33047.666666666701</v>
      </c>
    </row>
    <row r="11" spans="1:12" s="17" customFormat="1" ht="15" customHeight="1">
      <c r="A11" s="18"/>
      <c r="B11" s="86" t="s">
        <v>21</v>
      </c>
      <c r="C11" s="20">
        <f>Payments!C12</f>
        <v>127.7</v>
      </c>
      <c r="D11" s="87">
        <f>Payments!G12/L11*1000</f>
        <v>411.24171883880746</v>
      </c>
      <c r="E11" s="88">
        <f>Payments!J12/$L11*1000</f>
        <v>-38.210217863305367</v>
      </c>
      <c r="F11" s="89">
        <f>Payments!K12/$L11*1000</f>
        <v>0</v>
      </c>
      <c r="G11" s="89">
        <f>Payments!L12/$L11*1000</f>
        <v>0</v>
      </c>
      <c r="H11" s="90">
        <f t="shared" si="0"/>
        <v>-38.210217863305367</v>
      </c>
      <c r="I11" s="91">
        <f>Payments!Q12/L11*1000</f>
        <v>16.088788275755473</v>
      </c>
      <c r="J11" s="92">
        <f>Payments!R12/L11*1000</f>
        <v>389.12028925125753</v>
      </c>
      <c r="L11" s="77">
        <v>38740</v>
      </c>
    </row>
    <row r="12" spans="1:12" s="17" customFormat="1" ht="15" customHeight="1">
      <c r="A12" s="18"/>
      <c r="B12" s="78" t="s">
        <v>22</v>
      </c>
      <c r="C12" s="29">
        <f>Payments!C13</f>
        <v>68.900000000000006</v>
      </c>
      <c r="D12" s="79">
        <f>Payments!G13/L12*1000</f>
        <v>-1308.8701117270082</v>
      </c>
      <c r="E12" s="80">
        <f>Payments!J13/$L12*1000</f>
        <v>-134.659062319529</v>
      </c>
      <c r="F12" s="81">
        <f>Payments!K13/$L12*1000</f>
        <v>0</v>
      </c>
      <c r="G12" s="81">
        <f>Payments!L13/$L12*1000</f>
        <v>0</v>
      </c>
      <c r="H12" s="82">
        <f t="shared" si="0"/>
        <v>-134.659062319529</v>
      </c>
      <c r="I12" s="83">
        <f>Payments!Q13/L12*1000</f>
        <v>-196.79985034719823</v>
      </c>
      <c r="J12" s="84">
        <f>Payments!R13/L12*1000</f>
        <v>-1640.3290243937354</v>
      </c>
      <c r="L12" s="85">
        <v>38218</v>
      </c>
    </row>
    <row r="13" spans="1:12" s="17" customFormat="1" ht="15" customHeight="1">
      <c r="A13" s="18"/>
      <c r="B13" s="86" t="s">
        <v>23</v>
      </c>
      <c r="C13" s="20">
        <f>Payments!C14</f>
        <v>223.8</v>
      </c>
      <c r="D13" s="87">
        <f>Payments!G14/L13*1000</f>
        <v>1837.9684040521352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15.831791297570879</v>
      </c>
      <c r="J13" s="92">
        <f>Payments!R14/L13*1000</f>
        <v>1853.800195349706</v>
      </c>
      <c r="L13" s="77">
        <v>104728.66666666701</v>
      </c>
    </row>
    <row r="14" spans="1:12" s="17" customFormat="1" ht="15" customHeight="1">
      <c r="A14" s="18"/>
      <c r="B14" s="78" t="s">
        <v>24</v>
      </c>
      <c r="C14" s="29">
        <f>Payments!C15</f>
        <v>73.5</v>
      </c>
      <c r="D14" s="79">
        <f>Payments!G15/L14*1000</f>
        <v>-1017.4845762840952</v>
      </c>
      <c r="E14" s="80">
        <f>Payments!J15/$L14*1000</f>
        <v>-47.453672312291445</v>
      </c>
      <c r="F14" s="81">
        <f>Payments!K15/$L14*1000</f>
        <v>0</v>
      </c>
      <c r="G14" s="81">
        <f>Payments!L15/$L14*1000</f>
        <v>0</v>
      </c>
      <c r="H14" s="82">
        <f t="shared" si="0"/>
        <v>-47.453672312291445</v>
      </c>
      <c r="I14" s="83">
        <f>Payments!Q15/L14*1000</f>
        <v>-528.92158802559811</v>
      </c>
      <c r="J14" s="84">
        <f>Payments!R15/L14*1000</f>
        <v>-1593.8598366219844</v>
      </c>
      <c r="L14" s="85">
        <v>251972</v>
      </c>
    </row>
    <row r="15" spans="1:12" s="17" customFormat="1" ht="15" customHeight="1">
      <c r="A15" s="18"/>
      <c r="B15" s="86" t="s">
        <v>25</v>
      </c>
      <c r="C15" s="20">
        <f>Payments!C16</f>
        <v>76.2</v>
      </c>
      <c r="D15" s="87">
        <f>Payments!G16/L15*1000</f>
        <v>-859.21648512111062</v>
      </c>
      <c r="E15" s="88">
        <f>Payments!J16/$L15*1000</f>
        <v>0</v>
      </c>
      <c r="F15" s="89">
        <f>Payments!K16/$L15*1000</f>
        <v>0</v>
      </c>
      <c r="G15" s="89">
        <f>Payments!L16/$L15*1000</f>
        <v>0</v>
      </c>
      <c r="H15" s="90">
        <f t="shared" si="0"/>
        <v>0</v>
      </c>
      <c r="I15" s="91">
        <f>Payments!Q16/L15*1000</f>
        <v>16.645537361505077</v>
      </c>
      <c r="J15" s="92">
        <f>Payments!R16/L15*1000</f>
        <v>-842.57094775960547</v>
      </c>
      <c r="L15" s="77">
        <v>246221.33333333299</v>
      </c>
    </row>
    <row r="16" spans="1:12" s="17" customFormat="1" ht="15" customHeight="1">
      <c r="A16" s="18"/>
      <c r="B16" s="78" t="s">
        <v>26</v>
      </c>
      <c r="C16" s="29">
        <f>Payments!C17</f>
        <v>139.4</v>
      </c>
      <c r="D16" s="79">
        <f>Payments!G17/L16*1000</f>
        <v>584.94309466602704</v>
      </c>
      <c r="E16" s="80">
        <f>Payments!J17/$L16*1000</f>
        <v>0</v>
      </c>
      <c r="F16" s="81">
        <f>Payments!K17/$L16*1000</f>
        <v>-145.72754656190193</v>
      </c>
      <c r="G16" s="81">
        <f>Payments!L17/$L16*1000</f>
        <v>-108.30448729986317</v>
      </c>
      <c r="H16" s="82">
        <f t="shared" si="0"/>
        <v>-254.03203386176511</v>
      </c>
      <c r="I16" s="83">
        <f>Payments!Q17/L16*1000</f>
        <v>17.047200535560361</v>
      </c>
      <c r="J16" s="84">
        <f>Payments!R17/L16*1000</f>
        <v>347.95826133982234</v>
      </c>
      <c r="L16" s="85">
        <v>190734</v>
      </c>
    </row>
    <row r="17" spans="1:23" s="17" customFormat="1" ht="15" customHeight="1">
      <c r="A17" s="18"/>
      <c r="B17" s="86" t="s">
        <v>27</v>
      </c>
      <c r="C17" s="20">
        <f>Payments!C18</f>
        <v>102.6</v>
      </c>
      <c r="D17" s="87">
        <f>Payments!G18/L17*1000</f>
        <v>38.600305739382691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16.459522436752454</v>
      </c>
      <c r="J17" s="92">
        <f>Payments!R18/L17*1000</f>
        <v>55.059828176135142</v>
      </c>
      <c r="L17" s="77">
        <v>263868.33333333302</v>
      </c>
    </row>
    <row r="18" spans="1:23" s="17" customFormat="1" ht="15" customHeight="1">
      <c r="A18" s="18"/>
      <c r="B18" s="78" t="s">
        <v>28</v>
      </c>
      <c r="C18" s="29">
        <f>Payments!C19</f>
        <v>96.1</v>
      </c>
      <c r="D18" s="79">
        <f>Payments!G19/L18*1000</f>
        <v>-49.915880713540702</v>
      </c>
      <c r="E18" s="80">
        <f>Payments!J19/$L18*1000</f>
        <v>0</v>
      </c>
      <c r="F18" s="81">
        <f>Payments!K19/$L18*1000</f>
        <v>-35.587382521635696</v>
      </c>
      <c r="G18" s="81">
        <f>Payments!L19/$L18*1000</f>
        <v>0</v>
      </c>
      <c r="H18" s="82">
        <f t="shared" si="0"/>
        <v>-35.587382521635696</v>
      </c>
      <c r="I18" s="83">
        <f>Payments!Q19/L18*1000</f>
        <v>-72.854314986029635</v>
      </c>
      <c r="J18" s="84">
        <f>Payments!R19/L18*1000</f>
        <v>-158.35757822120604</v>
      </c>
      <c r="L18" s="85">
        <v>74152</v>
      </c>
    </row>
    <row r="19" spans="1:23" s="17" customFormat="1" ht="15" customHeight="1">
      <c r="A19" s="18"/>
      <c r="B19" s="86" t="s">
        <v>29</v>
      </c>
      <c r="C19" s="20">
        <f>Payments!C20</f>
        <v>76</v>
      </c>
      <c r="D19" s="87">
        <f>Payments!G20/L19*1000</f>
        <v>-870.60368470574315</v>
      </c>
      <c r="E19" s="88">
        <f>Payments!J20/$L19*1000</f>
        <v>-334.93423734217566</v>
      </c>
      <c r="F19" s="89">
        <f>Payments!K20/$L19*1000</f>
        <v>0</v>
      </c>
      <c r="G19" s="89">
        <f>Payments!L20/$L19*1000</f>
        <v>0</v>
      </c>
      <c r="H19" s="90">
        <f t="shared" si="0"/>
        <v>-334.93423734217566</v>
      </c>
      <c r="I19" s="91">
        <f>Payments!Q20/L19*1000</f>
        <v>17.164509031296824</v>
      </c>
      <c r="J19" s="92">
        <f>Payments!R20/L19*1000</f>
        <v>-1188.373413016622</v>
      </c>
      <c r="L19" s="77">
        <v>52550.333333333299</v>
      </c>
    </row>
    <row r="20" spans="1:23" s="17" customFormat="1" ht="15" customHeight="1">
      <c r="A20" s="18"/>
      <c r="B20" s="78" t="s">
        <v>30</v>
      </c>
      <c r="C20" s="29">
        <f>Payments!C21</f>
        <v>81.099999999999994</v>
      </c>
      <c r="D20" s="79">
        <f>Payments!G21/L20*1000</f>
        <v>-597.84586280149961</v>
      </c>
      <c r="E20" s="80">
        <f>Payments!J21/$L20*1000</f>
        <v>-553.03399240001863</v>
      </c>
      <c r="F20" s="81">
        <f>Payments!K21/$L20*1000</f>
        <v>0</v>
      </c>
      <c r="G20" s="81">
        <f>Payments!L21/$L20*1000</f>
        <v>0</v>
      </c>
      <c r="H20" s="82">
        <f t="shared" si="0"/>
        <v>-553.03399240001863</v>
      </c>
      <c r="I20" s="83">
        <f>Payments!Q21/L20*1000</f>
        <v>16.727267587286292</v>
      </c>
      <c r="J20" s="84">
        <f>Payments!R21/L20*1000</f>
        <v>-1134.1525876142321</v>
      </c>
      <c r="L20" s="85">
        <v>14779.333333333299</v>
      </c>
    </row>
    <row r="21" spans="1:23" s="17" customFormat="1" ht="15" customHeight="1">
      <c r="A21" s="18"/>
      <c r="B21" s="86" t="s">
        <v>31</v>
      </c>
      <c r="C21" s="20">
        <f>Payments!C22</f>
        <v>76.099999999999994</v>
      </c>
      <c r="D21" s="87">
        <f>Payments!G22/L21*1000</f>
        <v>-864.90325589405984</v>
      </c>
      <c r="E21" s="88">
        <f>Payments!J22/$L21*1000</f>
        <v>-4.3203926905325529</v>
      </c>
      <c r="F21" s="89">
        <f>Payments!K22/$L21*1000</f>
        <v>0</v>
      </c>
      <c r="G21" s="89">
        <f>Payments!L22/$L21*1000</f>
        <v>0</v>
      </c>
      <c r="H21" s="90">
        <f t="shared" si="0"/>
        <v>-4.3203926905325529</v>
      </c>
      <c r="I21" s="91">
        <f>Payments!Q22/L21*1000</f>
        <v>16.490573746440724</v>
      </c>
      <c r="J21" s="92">
        <f>Payments!R22/L21*1000</f>
        <v>-852.73307483815154</v>
      </c>
      <c r="L21" s="77">
        <v>459391</v>
      </c>
    </row>
    <row r="22" spans="1:23" s="17" customFormat="1" ht="15" customHeight="1">
      <c r="A22" s="18"/>
      <c r="B22" s="78" t="s">
        <v>32</v>
      </c>
      <c r="C22" s="29">
        <f>Payments!C23</f>
        <v>80.599999999999994</v>
      </c>
      <c r="D22" s="79">
        <f>Payments!G23/L22*1000</f>
        <v>-622.9175730652729</v>
      </c>
      <c r="E22" s="80">
        <f>Payments!J23/$L22*1000</f>
        <v>-716.07948061640298</v>
      </c>
      <c r="F22" s="81">
        <f>Payments!K23/$L22*1000</f>
        <v>0</v>
      </c>
      <c r="G22" s="81">
        <f>Payments!L23/$L22*1000</f>
        <v>0</v>
      </c>
      <c r="H22" s="82">
        <f t="shared" si="0"/>
        <v>-716.07948061640298</v>
      </c>
      <c r="I22" s="83">
        <f>Payments!Q23/L22*1000</f>
        <v>16.647663664872571</v>
      </c>
      <c r="J22" s="84">
        <f>Payments!R23/L22*1000</f>
        <v>-1322.3493900168032</v>
      </c>
      <c r="L22" s="85">
        <v>191370.33333333299</v>
      </c>
    </row>
    <row r="23" spans="1:23" s="17" customFormat="1" ht="15" customHeight="1">
      <c r="A23" s="18"/>
      <c r="B23" s="86" t="s">
        <v>33</v>
      </c>
      <c r="C23" s="20">
        <f>Payments!C24</f>
        <v>88.8</v>
      </c>
      <c r="D23" s="87">
        <f>Payments!G24/L23*1000</f>
        <v>-262.45907087731644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16.217427487488727</v>
      </c>
      <c r="J23" s="92">
        <f>Payments!R24/L23*1000</f>
        <v>-246.24164338982777</v>
      </c>
      <c r="L23" s="77">
        <v>563149</v>
      </c>
    </row>
    <row r="24" spans="1:23" s="17" customFormat="1" ht="15" customHeight="1">
      <c r="A24" s="18"/>
      <c r="B24" s="78" t="s">
        <v>34</v>
      </c>
      <c r="C24" s="29">
        <f>Payments!C25</f>
        <v>73.400000000000006</v>
      </c>
      <c r="D24" s="79">
        <f>Payments!G25/L24*1000</f>
        <v>-1023.5319786389905</v>
      </c>
      <c r="E24" s="80">
        <f>Payments!J25/$L24*1000</f>
        <v>-16.011998059888587</v>
      </c>
      <c r="F24" s="81">
        <f>Payments!K25/$L24*1000</f>
        <v>0</v>
      </c>
      <c r="G24" s="81">
        <f>Payments!L25/$L24*1000</f>
        <v>0</v>
      </c>
      <c r="H24" s="82">
        <f t="shared" si="0"/>
        <v>-16.011998059888587</v>
      </c>
      <c r="I24" s="83">
        <f>Payments!Q25/L24*1000</f>
        <v>16.504954190886217</v>
      </c>
      <c r="J24" s="84">
        <f>Payments!R25/L24*1000</f>
        <v>-1023.0390225079929</v>
      </c>
      <c r="L24" s="85">
        <v>232811.66666666701</v>
      </c>
    </row>
    <row r="25" spans="1:23" s="17" customFormat="1" ht="15" customHeight="1">
      <c r="A25" s="18"/>
      <c r="B25" s="86" t="s">
        <v>35</v>
      </c>
      <c r="C25" s="20">
        <f>Payments!C26</f>
        <v>95.9</v>
      </c>
      <c r="D25" s="87">
        <f>Payments!G26/L25*1000</f>
        <v>-54.002033209920462</v>
      </c>
      <c r="E25" s="88">
        <f>Payments!J26/$L25*1000</f>
        <v>-43.024293967174231</v>
      </c>
      <c r="F25" s="89">
        <f>Payments!K26/$L25*1000</f>
        <v>-55.429941028492948</v>
      </c>
      <c r="G25" s="89">
        <f>Payments!L26/$L25*1000</f>
        <v>0</v>
      </c>
      <c r="H25" s="90">
        <f t="shared" si="0"/>
        <v>-98.454234995667179</v>
      </c>
      <c r="I25" s="91">
        <f>Payments!Q26/L25*1000</f>
        <v>16.240913792861768</v>
      </c>
      <c r="J25" s="92">
        <f>Payments!R26/L25*1000</f>
        <v>-136.21535441272584</v>
      </c>
      <c r="L25" s="77">
        <v>319353.33333333302</v>
      </c>
    </row>
    <row r="26" spans="1:23" s="17" customFormat="1" ht="15" customHeight="1">
      <c r="A26" s="18"/>
      <c r="B26" s="78" t="s">
        <v>36</v>
      </c>
      <c r="C26" s="29">
        <f>Payments!C27</f>
        <v>101.5</v>
      </c>
      <c r="D26" s="79">
        <f>Payments!G27/L26*1000</f>
        <v>22.269407157336101</v>
      </c>
      <c r="E26" s="80">
        <f>Payments!J27/$L26*1000</f>
        <v>0</v>
      </c>
      <c r="F26" s="81">
        <f>Payments!K27/$L26*1000</f>
        <v>-72.430656474194521</v>
      </c>
      <c r="G26" s="81">
        <f>Payments!L27/$L26*1000</f>
        <v>-5.0225324724105604</v>
      </c>
      <c r="H26" s="82">
        <f t="shared" si="0"/>
        <v>-77.453188946605081</v>
      </c>
      <c r="I26" s="83">
        <f>Payments!Q27/L26*1000</f>
        <v>16.174288018139087</v>
      </c>
      <c r="J26" s="84">
        <f>Payments!R27/L26*1000</f>
        <v>-39.009493771129897</v>
      </c>
      <c r="L26" s="85">
        <v>656153.66666666698</v>
      </c>
    </row>
    <row r="27" spans="1:23" s="17" customFormat="1" ht="15" customHeight="1">
      <c r="A27" s="18"/>
      <c r="B27" s="86" t="s">
        <v>37</v>
      </c>
      <c r="C27" s="20">
        <f>Payments!C28</f>
        <v>68.099999999999994</v>
      </c>
      <c r="D27" s="87">
        <f>Payments!G28/L27*1000</f>
        <v>-1362.2309865297548</v>
      </c>
      <c r="E27" s="88">
        <f>Payments!J28/$L27*1000</f>
        <v>-243.71541027426423</v>
      </c>
      <c r="F27" s="89">
        <f>Payments!K28/$L27*1000</f>
        <v>0</v>
      </c>
      <c r="G27" s="89">
        <f>Payments!L28/$L27*1000</f>
        <v>0</v>
      </c>
      <c r="H27" s="90">
        <f t="shared" si="0"/>
        <v>-243.71541027426423</v>
      </c>
      <c r="I27" s="91">
        <f>Payments!Q28/L27*1000</f>
        <v>16.09704278782721</v>
      </c>
      <c r="J27" s="92">
        <f>Payments!R28/L27*1000</f>
        <v>-1589.8493540161919</v>
      </c>
      <c r="L27" s="77">
        <v>286555.33333333302</v>
      </c>
    </row>
    <row r="28" spans="1:23" s="17" customFormat="1" ht="15" customHeight="1">
      <c r="A28" s="18"/>
      <c r="B28" s="78" t="s">
        <v>38</v>
      </c>
      <c r="C28" s="29">
        <f>Payments!C29</f>
        <v>97.5</v>
      </c>
      <c r="D28" s="79">
        <f>Payments!G29/L28*1000</f>
        <v>-24.796567009983637</v>
      </c>
      <c r="E28" s="80">
        <f>Payments!J29/$L28*1000</f>
        <v>-135.35960161886581</v>
      </c>
      <c r="F28" s="81">
        <f>Payments!K29/$L28*1000</f>
        <v>-70.250357172109986</v>
      </c>
      <c r="G28" s="81">
        <f>Payments!L29/$L28*1000</f>
        <v>0</v>
      </c>
      <c r="H28" s="82">
        <f t="shared" si="0"/>
        <v>-205.60995879097578</v>
      </c>
      <c r="I28" s="83">
        <f>Payments!Q29/L28*1000</f>
        <v>-628.43100232169559</v>
      </c>
      <c r="J28" s="84">
        <f>Payments!R29/L28*1000</f>
        <v>-858.83752812265504</v>
      </c>
      <c r="L28" s="85">
        <v>168702</v>
      </c>
    </row>
    <row r="29" spans="1:23" s="17" customFormat="1" ht="15" customHeight="1">
      <c r="A29" s="18"/>
      <c r="B29" s="86" t="s">
        <v>39</v>
      </c>
      <c r="C29" s="20">
        <f>Payments!C30</f>
        <v>151.19999999999999</v>
      </c>
      <c r="D29" s="87">
        <f>Payments!G30/L29*1000</f>
        <v>760.12909763707239</v>
      </c>
      <c r="E29" s="88">
        <f>Payments!J30/$L29*1000</f>
        <v>0</v>
      </c>
      <c r="F29" s="89">
        <f>Payments!K30/$L29*1000</f>
        <v>-191.50013345284438</v>
      </c>
      <c r="G29" s="89">
        <f>Payments!L30/$L29*1000</f>
        <v>-72.067169263222141</v>
      </c>
      <c r="H29" s="90">
        <f t="shared" si="0"/>
        <v>-263.56730271606654</v>
      </c>
      <c r="I29" s="91">
        <f>Payments!Q30/L29*1000</f>
        <v>15.95437649758558</v>
      </c>
      <c r="J29" s="92">
        <f>Payments!R30/L29*1000</f>
        <v>512.5161714185914</v>
      </c>
      <c r="K29" s="18"/>
      <c r="L29" s="77">
        <v>432290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3" t="s">
        <v>40</v>
      </c>
      <c r="C30" s="94">
        <f>Payments!C31</f>
        <v>68.7</v>
      </c>
      <c r="D30" s="95">
        <f>Payments!G31/L30*1000</f>
        <v>-1322.1374230353892</v>
      </c>
      <c r="E30" s="96">
        <f>Payments!J31/$L30*1000</f>
        <v>-62.343915205084741</v>
      </c>
      <c r="F30" s="97">
        <f>Payments!K31/$L30*1000</f>
        <v>0</v>
      </c>
      <c r="G30" s="97">
        <f>Payments!L31/$L30*1000</f>
        <v>0</v>
      </c>
      <c r="H30" s="98">
        <f t="shared" si="0"/>
        <v>-62.343915205084741</v>
      </c>
      <c r="I30" s="99">
        <f>Payments!Q31/L30*1000</f>
        <v>-268.72273021695065</v>
      </c>
      <c r="J30" s="100">
        <f>Payments!R31/L30*1000</f>
        <v>-1653.2040684574245</v>
      </c>
      <c r="K30" s="18"/>
      <c r="L30" s="101">
        <v>67902.333333333299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2012-03-01T07:45:20Z</cp:lastPrinted>
  <dcterms:created xsi:type="dcterms:W3CDTF">2007-03-30T08:04:01Z</dcterms:created>
  <dcterms:modified xsi:type="dcterms:W3CDTF">2012-04-23T12:44:29Z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