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Gross_wages" sheetId="2" r:id="rId2"/>
    <sheet name="Gamma" sheetId="3" r:id="rId3"/>
    <sheet name="Calculation_ITS" sheetId="4" r:id="rId4"/>
  </sheets>
  <definedNames>
    <definedName name="_xlnm.Print_Area">#REF!</definedName>
    <definedName name="_xlnm.Print_Titles">#REF!</definedName>
    <definedName name="gamma">Gamma!$C$7</definedName>
    <definedName name="sst">Calculation_ITS!$V$14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G11"/>
  <c r="G37" s="1"/>
  <c r="E11"/>
  <c r="E37" s="1"/>
  <c r="D11"/>
  <c r="D38" s="1"/>
  <c r="U10"/>
  <c r="V9"/>
  <c r="O8"/>
  <c r="D7"/>
  <c r="A4"/>
  <c r="L3"/>
  <c r="A1"/>
  <c r="C6" i="3"/>
  <c r="C7" s="1"/>
  <c r="B6"/>
  <c r="O11" i="4" s="1"/>
  <c r="C3" i="3"/>
  <c r="A1"/>
  <c r="H36" i="2"/>
  <c r="G36"/>
  <c r="F36"/>
  <c r="E36"/>
  <c r="D36"/>
  <c r="C36"/>
  <c r="B36"/>
  <c r="I36" s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1"/>
  <c r="A5" i="1"/>
  <c r="A2" i="4" s="1"/>
  <c r="A4" i="1"/>
  <c r="C11" i="4" l="1"/>
  <c r="H11"/>
  <c r="F11"/>
  <c r="B11"/>
  <c r="A2" i="2"/>
  <c r="A2" i="3" s="1"/>
  <c r="E13" i="4"/>
  <c r="G13"/>
  <c r="D14"/>
  <c r="D15"/>
  <c r="E16"/>
  <c r="G16"/>
  <c r="D17"/>
  <c r="E18"/>
  <c r="G18"/>
  <c r="D19"/>
  <c r="E20"/>
  <c r="G20"/>
  <c r="D21"/>
  <c r="E22"/>
  <c r="G22"/>
  <c r="D23"/>
  <c r="E24"/>
  <c r="G24"/>
  <c r="D25"/>
  <c r="E26"/>
  <c r="G26"/>
  <c r="D27"/>
  <c r="E28"/>
  <c r="G28"/>
  <c r="D29"/>
  <c r="E30"/>
  <c r="G30"/>
  <c r="D31"/>
  <c r="E32"/>
  <c r="G32"/>
  <c r="D33"/>
  <c r="E34"/>
  <c r="G34"/>
  <c r="D35"/>
  <c r="E36"/>
  <c r="G36"/>
  <c r="D37"/>
  <c r="E38"/>
  <c r="G38"/>
  <c r="D13"/>
  <c r="E14"/>
  <c r="G14"/>
  <c r="E15"/>
  <c r="G15"/>
  <c r="D16"/>
  <c r="E17"/>
  <c r="G17"/>
  <c r="D18"/>
  <c r="E19"/>
  <c r="G19"/>
  <c r="D20"/>
  <c r="E21"/>
  <c r="G21"/>
  <c r="D22"/>
  <c r="E23"/>
  <c r="G23"/>
  <c r="D24"/>
  <c r="E25"/>
  <c r="G25"/>
  <c r="D26"/>
  <c r="E27"/>
  <c r="G27"/>
  <c r="D28"/>
  <c r="E29"/>
  <c r="G29"/>
  <c r="D30"/>
  <c r="E31"/>
  <c r="G31"/>
  <c r="D32"/>
  <c r="E33"/>
  <c r="G33"/>
  <c r="D34"/>
  <c r="E35"/>
  <c r="G35"/>
  <c r="D36"/>
  <c r="F38" l="1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D39"/>
  <c r="G39"/>
  <c r="B38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H39" l="1"/>
  <c r="B39"/>
  <c r="I16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C39"/>
  <c r="I13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1" l="1"/>
  <c r="S31" s="1"/>
  <c r="Q23"/>
  <c r="S23" s="1"/>
  <c r="Q15"/>
  <c r="S15" s="1"/>
  <c r="Q34"/>
  <c r="S34" s="1"/>
  <c r="Q26"/>
  <c r="S26" s="1"/>
  <c r="Q18"/>
  <c r="S18" s="1"/>
  <c r="Q37"/>
  <c r="S37" s="1"/>
  <c r="Q29"/>
  <c r="S29" s="1"/>
  <c r="Q21"/>
  <c r="S21" s="1"/>
  <c r="Q14"/>
  <c r="S14" s="1"/>
  <c r="Q32"/>
  <c r="S32" s="1"/>
  <c r="Q24"/>
  <c r="S24" s="1"/>
  <c r="Q16"/>
  <c r="S16" s="1"/>
  <c r="Q35"/>
  <c r="S35" s="1"/>
  <c r="Q27"/>
  <c r="S27" s="1"/>
  <c r="Q19"/>
  <c r="S19" s="1"/>
  <c r="S38"/>
  <c r="Q38"/>
  <c r="S30"/>
  <c r="Q30"/>
  <c r="S22"/>
  <c r="Q22"/>
  <c r="I39"/>
  <c r="K39" s="1"/>
  <c r="L39" s="1"/>
  <c r="K13"/>
  <c r="L13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<sst xmlns="http://schemas.openxmlformats.org/spreadsheetml/2006/main" count="214" uniqueCount="106">
  <si>
    <t>Income taxed at source (ITS)</t>
  </si>
  <si>
    <t>Informations</t>
  </si>
  <si>
    <t>Environment</t>
  </si>
  <si>
    <t>Produktion</t>
  </si>
  <si>
    <t>Type</t>
  </si>
  <si>
    <t>Test</t>
  </si>
  <si>
    <t>WS</t>
  </si>
  <si>
    <t>FA_2009_20120423</t>
  </si>
  <si>
    <t>SWS</t>
  </si>
  <si>
    <t>RA_2009_20120423</t>
  </si>
  <si>
    <t>RefYear</t>
  </si>
  <si>
    <t>AssesYear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</si>
  <si>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</si>
  <si>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</si>
  <si>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</si>
  <si>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</si>
  <si>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</si>
  <si>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</si>
  <si>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</si>
  <si>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</si>
  <si>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</si>
  <si>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Formula</t>
  </si>
  <si>
    <t>C + D + E + F + G + H</t>
  </si>
  <si>
    <t>Category</t>
  </si>
  <si>
    <t>A2</t>
  </si>
  <si>
    <t>D2</t>
  </si>
  <si>
    <t>F2</t>
  </si>
  <si>
    <t>F3</t>
  </si>
  <si>
    <t>I2</t>
  </si>
  <si>
    <t>Resident foreigners and foreign boards of directors</t>
  </si>
  <si>
    <t>Fully taxed cross-border commuters</t>
  </si>
  <si>
    <t>Cross-border commuters with limited tax</t>
  </si>
  <si>
    <t>Total</t>
  </si>
  <si>
    <t>from Austria</t>
  </si>
  <si>
    <t>from Germany</t>
  </si>
  <si>
    <t>from France subject to taxation by the Canton of Geneva</t>
  </si>
  <si>
    <t>from France subject to taxation by France</t>
  </si>
  <si>
    <t>from Italy</t>
  </si>
  <si>
    <t>Data source</t>
  </si>
  <si>
    <t>FTA</t>
  </si>
  <si>
    <t>Unit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</si>
  <si>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</si>
  <si>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</si>
  <si>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</si>
  <si>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</si>
  <si>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</si>
  <si>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</si>
  <si>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</si>
  <si>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</si>
  <si>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</si>
  <si>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</si>
  <si>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</si>
  <si>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</si>
  <si>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</si>
  <si>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</si>
  <si>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</si>
  <si>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</si>
  <si>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</si>
  <si>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</si>
  <si>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</si>
  <si>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</si>
  <si>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</si>
  <si>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</si>
  <si>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</si>
  <si>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</si>
  <si>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</si>
  <si>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</si>
  <si>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</si>
  <si>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</si>
  <si>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CHF 1,000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</si>
  <si>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  Primary income of households</t>
    </r>
  </si>
  <si>
    <t>FSO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</si>
  <si>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  Relevant income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</si>
  <si>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</si>
  <si>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Estimate based on employment statistics</t>
  </si>
  <si>
    <t>Column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</si>
  <si>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</si>
  <si>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</si>
  <si>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</si>
  <si>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</si>
  <si>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</si>
  <si>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</si>
  <si>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</si>
  <si>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</si>
  <si>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</si>
  <si>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STR</t>
  </si>
  <si>
    <t>g-0.035 / STR</t>
  </si>
  <si>
    <r>
      <rPr>
        <sz val="12"/>
        <rFont val="Arial"/>
        <family val="2"/>
      </rPr>
      <t xml:space="preserve">(1-0.4)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</si>
  <si>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</si>
  <si>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</si>
  <si>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</si>
  <si>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provided L=0</t>
  </si>
  <si>
    <t>L + Q</t>
  </si>
  <si>
    <t>Estimated relationship between relevant income taxed at source and relevant income =&gt; upper limit 95% confidence interval</t>
  </si>
  <si>
    <t>Result based on estimated data</t>
  </si>
  <si>
    <t>Relevant income taxed at source</t>
  </si>
  <si>
    <t>Total cross-border commuters</t>
  </si>
  <si>
    <t>Weighting factor
(as per EFBRO)</t>
  </si>
  <si>
    <t>Result based on gross wages 
(cross-border commuters)</t>
  </si>
  <si>
    <t>Result based on gross wages
(total)</t>
  </si>
  <si>
    <t>Value</t>
  </si>
  <si>
    <t>unrounded</t>
  </si>
  <si>
    <t>rounded</t>
  </si>
  <si>
    <t xml:space="preserve">* Correction </t>
  </si>
  <si>
    <t>Jura*</t>
  </si>
  <si>
    <r>
      <t xml:space="preserve">* </t>
    </r>
    <r>
      <rPr>
        <i/>
        <sz val="12"/>
        <rFont val="Arial"/>
        <family val="2"/>
      </rPr>
      <t>Correction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</si>
</sst>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">
    <numFmt numFmtId="164" formatCode="_ * #,##0_ ;_ * \-#,##0_ ;_ * &quot;-&quot;??_ ;_ @_ "/>
    <numFmt numFmtId="165" formatCode="0.0%"/>
    <numFmt numFmtId="166" formatCode="0.000"/>
    <numFmt numFmtId="167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4" fillId="0" borderId="4" xfId="0" applyNumberFormat="1" applyFont="1" applyFill="1" applyBorder="1" applyAlignment="1" applyProtection="1">
      <alignment horizontal="left" vertical="top"/>
      <protection locked="0"/>
    </xf>
    <xf numFmtId="1" fontId="24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4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5" fillId="0" borderId="0" xfId="0" applyFont="1" applyFill="1"/>
    <xf numFmtId="0" fontId="21" fillId="0" borderId="0" xfId="0" applyFont="1" applyFill="1"/>
    <xf numFmtId="0" fontId="7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/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/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0" fontId="21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29" xfId="0" applyNumberFormat="1" applyFont="1" applyFill="1" applyBorder="1"/>
    <xf numFmtId="0" fontId="0" fillId="0" borderId="18" xfId="0" applyFont="1" applyFill="1" applyBorder="1" applyAlignment="1">
      <alignment horizontal="right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30" xfId="0" applyNumberFormat="1" applyFont="1" applyFill="1" applyBorder="1"/>
    <xf numFmtId="0" fontId="0" fillId="0" borderId="6" xfId="0" applyFont="1" applyFill="1" applyBorder="1" applyAlignment="1">
      <alignment horizontal="right"/>
    </xf>
    <xf numFmtId="167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30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1" xfId="0" applyNumberFormat="1" applyFont="1" applyFill="1" applyBorder="1"/>
    <xf numFmtId="3" fontId="7" fillId="0" borderId="10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167" fontId="14" fillId="0" borderId="19" xfId="0" applyNumberFormat="1" applyFont="1" applyFill="1" applyBorder="1" applyProtection="1">
      <protection locked="0"/>
    </xf>
    <xf numFmtId="164" fontId="28" fillId="2" borderId="8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15" fillId="2" borderId="31" xfId="0" applyNumberFormat="1" applyFont="1" applyFill="1" applyBorder="1"/>
    <xf numFmtId="3" fontId="13" fillId="2" borderId="23" xfId="0" applyNumberFormat="1" applyFont="1" applyFill="1" applyBorder="1"/>
    <xf numFmtId="3" fontId="13" fillId="2" borderId="8" xfId="0" applyNumberFormat="1" applyFont="1" applyFill="1" applyBorder="1"/>
    <xf numFmtId="0" fontId="26" fillId="2" borderId="20" xfId="0" applyFont="1" applyFill="1" applyBorder="1"/>
    <xf numFmtId="0" fontId="26" fillId="0" borderId="0" xfId="0" applyFont="1" applyFill="1"/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zoomScaleNormal="100" workbookViewId="0">
      <selection activeCell="A5" sqref="A5:E5"/>
    </sheetView>
  </sheetViews>
  <sheetFormatPr baseColWidth="10" defaultColWidth="11.5546875" defaultRowHeight="12.75"/>
  <cols>
    <col min="1" max="1" width="16.6640625" style="1" customWidth="1"/>
    <col min="2" max="2" width="9" style="1" customWidth="1"/>
    <col min="3" max="3" width="17.77734375" style="1" customWidth="1"/>
    <col min="4" max="4" width="10" style="1" customWidth="1"/>
    <col min="5" max="5" width="7.88671875" style="1" customWidth="1"/>
    <col min="6" max="6" width="11.5546875" style="1" customWidth="1"/>
    <col min="7" max="16384" width="11.5546875" style="1"/>
  </cols>
  <sheetData>
    <row r="1" spans="1:5" ht="27.75" customHeight="1">
      <c r="A1" s="200" t="s">
        <v>0</v>
      </c>
      <c r="B1" s="200"/>
      <c r="C1" s="200"/>
      <c r="D1" s="200"/>
      <c r="E1" s="200"/>
    </row>
    <row r="2" spans="1:5" ht="24.75" customHeight="1">
      <c r="A2" s="199"/>
      <c r="B2" s="199"/>
      <c r="C2" s="199"/>
      <c r="D2" s="199"/>
      <c r="E2" s="199"/>
    </row>
    <row r="4" spans="1:5" ht="18" customHeight="1">
      <c r="A4" s="198" t="str">
        <f>"Assessment year "&amp;C31</f>
        <v>Assessment year 2005</v>
      </c>
      <c r="B4" s="198"/>
      <c r="C4" s="198"/>
      <c r="D4" s="198"/>
      <c r="E4" s="198"/>
    </row>
    <row r="5" spans="1:5" ht="18" customHeight="1">
      <c r="A5" s="198" t="str">
        <f>"Reference year "&amp;C30</f>
        <v>Reference year 2009</v>
      </c>
      <c r="B5" s="198"/>
      <c r="C5" s="198"/>
      <c r="D5" s="198"/>
      <c r="E5" s="198"/>
    </row>
    <row r="25" spans="2:3">
      <c r="B25" s="2" t="s">
        <v>1</v>
      </c>
      <c r="C25" s="3"/>
    </row>
    <row r="26" spans="2:3">
      <c r="B26" s="4" t="s">
        <v>2</v>
      </c>
      <c r="C26" s="5" t="s">
        <v>3</v>
      </c>
    </row>
    <row r="27" spans="2:3">
      <c r="B27" s="4" t="s">
        <v>4</v>
      </c>
      <c r="C27" s="6" t="s">
        <v>5</v>
      </c>
    </row>
    <row r="28" spans="2:3">
      <c r="B28" s="4" t="s">
        <v>6</v>
      </c>
      <c r="C28" s="6" t="s">
        <v>7</v>
      </c>
    </row>
    <row r="29" spans="2:3">
      <c r="B29" s="4" t="s">
        <v>8</v>
      </c>
      <c r="C29" s="6" t="s">
        <v>9</v>
      </c>
    </row>
    <row r="30" spans="2:3">
      <c r="B30" s="4" t="s">
        <v>10</v>
      </c>
      <c r="C30" s="6">
        <v>2009</v>
      </c>
    </row>
    <row r="31" spans="2:3">
      <c r="B31" s="7" t="s">
        <v>11</v>
      </c>
      <c r="C31" s="8">
        <v>2005</v>
      </c>
    </row>
  </sheetData>
  <mergeCells count="4">
    <mergeCell ref="A5:E5"/>
    <mergeCell ref="A4:E4"/>
    <mergeCell ref="A2:E2"/>
    <mergeCell ref="A1:E1"/>
  </mergeCells>
  <conditionalFormatting sqref="C26:C31">
    <cfRule type="expression" dxfId="10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zoomScaleNormal="90" workbookViewId="0">
      <selection activeCell="A3" sqref="A3"/>
    </sheetView>
  </sheetViews>
  <sheetFormatPr baseColWidth="10" defaultColWidth="11.5546875" defaultRowHeight="15"/>
  <cols>
    <col min="1" max="1" width="12.77734375" style="9" customWidth="1"/>
    <col min="2" max="2" width="17.6640625" style="9" customWidth="1"/>
    <col min="3" max="3" width="13.5546875" style="9" customWidth="1"/>
    <col min="4" max="5" width="13.33203125" style="9" customWidth="1"/>
    <col min="6" max="6" width="17.21875" style="9" customWidth="1"/>
    <col min="7" max="7" width="16.5546875" style="9" customWidth="1"/>
    <col min="8" max="9" width="13.33203125" style="9" customWidth="1"/>
  </cols>
  <sheetData>
    <row r="1" spans="1:9" ht="26.25" customHeight="1">
      <c r="A1" s="10" t="str">
        <f>"Gross wages "&amp;Info!C31</f>
        <v>Gross wages 2005</v>
      </c>
      <c r="B1" s="10"/>
      <c r="C1" s="10"/>
      <c r="I1" s="11"/>
    </row>
    <row r="2" spans="1:9" ht="31.5" customHeight="1">
      <c r="A2" s="12" t="str">
        <f>Info!A5</f>
        <v>Reference year 2009</v>
      </c>
      <c r="B2" s="13"/>
      <c r="C2" s="13"/>
      <c r="D2" s="14"/>
      <c r="I2" s="15" t="str">
        <f>Info!C28</f>
        <v>FA_2009_20120423</v>
      </c>
    </row>
    <row r="3" spans="1:9" s="16" customFormat="1" ht="12.75">
      <c r="A3" s="17" t="s">
        <v>12</v>
      </c>
      <c r="B3" s="18" t="s">
        <v>13</v>
      </c>
      <c r="C3" s="18" t="s">
        <v>14</v>
      </c>
      <c r="D3" s="18" t="s">
        <v>15</v>
      </c>
      <c r="E3" s="18" t="s">
        <v>16</v>
      </c>
      <c r="F3" s="18" t="s">
        <v>17</v>
      </c>
      <c r="G3" s="18" t="s">
        <v>18</v>
      </c>
      <c r="H3" s="18" t="s">
        <v>19</v>
      </c>
      <c r="I3" s="19" t="s">
        <v>20</v>
      </c>
    </row>
    <row r="4" spans="1:9" s="20" customFormat="1" ht="11.25" customHeight="1">
      <c r="A4" s="21" t="s">
        <v>21</v>
      </c>
      <c r="B4" s="22"/>
      <c r="C4" s="22"/>
      <c r="D4" s="22"/>
      <c r="E4" s="22"/>
      <c r="F4" s="23"/>
      <c r="G4" s="23"/>
      <c r="H4" s="23"/>
      <c r="I4" s="24" t="s">
        <v>22</v>
      </c>
    </row>
    <row r="5" spans="1:9" ht="15.75" customHeight="1">
      <c r="A5" s="25" t="s">
        <v>23</v>
      </c>
      <c r="B5" s="26">
        <v>0</v>
      </c>
      <c r="C5" s="27">
        <v>1</v>
      </c>
      <c r="D5" s="28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9"/>
    </row>
    <row r="6" spans="1:9" ht="21.75" customHeight="1">
      <c r="A6" s="206"/>
      <c r="B6" s="201" t="s">
        <v>29</v>
      </c>
      <c r="C6" s="201" t="s">
        <v>30</v>
      </c>
      <c r="D6" s="203" t="s">
        <v>31</v>
      </c>
      <c r="E6" s="204"/>
      <c r="F6" s="204"/>
      <c r="G6" s="204"/>
      <c r="H6" s="205"/>
      <c r="I6" s="208" t="s">
        <v>32</v>
      </c>
    </row>
    <row r="7" spans="1:9" ht="38.25" customHeight="1">
      <c r="A7" s="207"/>
      <c r="B7" s="202"/>
      <c r="C7" s="202"/>
      <c r="D7" s="32" t="s">
        <v>33</v>
      </c>
      <c r="E7" s="33" t="s">
        <v>34</v>
      </c>
      <c r="F7" s="33" t="s">
        <v>35</v>
      </c>
      <c r="G7" s="33" t="s">
        <v>36</v>
      </c>
      <c r="H7" s="34" t="s">
        <v>37</v>
      </c>
      <c r="I7" s="209"/>
    </row>
    <row r="8" spans="1:9" s="35" customFormat="1" ht="11.25" customHeight="1">
      <c r="A8" s="36" t="s">
        <v>38</v>
      </c>
      <c r="B8" s="37" t="s">
        <v>39</v>
      </c>
      <c r="C8" s="37" t="s">
        <v>39</v>
      </c>
      <c r="D8" s="38" t="s">
        <v>39</v>
      </c>
      <c r="E8" s="37" t="s">
        <v>39</v>
      </c>
      <c r="F8" s="37" t="s">
        <v>39</v>
      </c>
      <c r="G8" s="37" t="s">
        <v>39</v>
      </c>
      <c r="H8" s="39" t="s">
        <v>39</v>
      </c>
      <c r="I8" s="40"/>
    </row>
    <row r="9" spans="1:9" s="41" customFormat="1" ht="11.25" customHeight="1">
      <c r="A9" s="42" t="s">
        <v>40</v>
      </c>
      <c r="B9" s="43" t="s">
        <v>41</v>
      </c>
      <c r="C9" s="43" t="s">
        <v>41</v>
      </c>
      <c r="D9" s="44" t="s">
        <v>41</v>
      </c>
      <c r="E9" s="43" t="s">
        <v>41</v>
      </c>
      <c r="F9" s="43" t="s">
        <v>41</v>
      </c>
      <c r="G9" s="43" t="s">
        <v>41</v>
      </c>
      <c r="H9" s="45" t="s">
        <v>41</v>
      </c>
      <c r="I9" s="46" t="s">
        <v>41</v>
      </c>
    </row>
    <row r="10" spans="1:9">
      <c r="A10" s="47" t="s">
        <v>42</v>
      </c>
      <c r="B10" s="48">
        <v>2955281856</v>
      </c>
      <c r="C10" s="48">
        <v>19155368</v>
      </c>
      <c r="D10" s="49">
        <v>0</v>
      </c>
      <c r="E10" s="48">
        <v>318334436</v>
      </c>
      <c r="F10" s="48">
        <v>0</v>
      </c>
      <c r="G10" s="48">
        <v>0</v>
      </c>
      <c r="H10" s="50">
        <v>0</v>
      </c>
      <c r="I10" s="51">
        <f t="shared" ref="I10:I36" si="0">SUM(B10:H10)</f>
        <v>3292771660</v>
      </c>
    </row>
    <row r="11" spans="1:9">
      <c r="A11" s="52" t="s">
        <v>43</v>
      </c>
      <c r="B11" s="53">
        <v>1049903721</v>
      </c>
      <c r="C11" s="53">
        <v>0</v>
      </c>
      <c r="D11" s="54">
        <v>0</v>
      </c>
      <c r="E11" s="53">
        <v>2781459</v>
      </c>
      <c r="F11" s="53">
        <v>0</v>
      </c>
      <c r="G11" s="53">
        <v>61180067</v>
      </c>
      <c r="H11" s="55">
        <v>0</v>
      </c>
      <c r="I11" s="56">
        <f t="shared" si="0"/>
        <v>1113865247</v>
      </c>
    </row>
    <row r="12" spans="1:9">
      <c r="A12" s="57" t="s">
        <v>44</v>
      </c>
      <c r="B12" s="58">
        <v>446801483</v>
      </c>
      <c r="C12" s="58">
        <v>0</v>
      </c>
      <c r="D12" s="59">
        <v>0</v>
      </c>
      <c r="E12" s="58">
        <v>3412547</v>
      </c>
      <c r="F12" s="58">
        <v>0</v>
      </c>
      <c r="G12" s="58">
        <v>0</v>
      </c>
      <c r="H12" s="60">
        <v>0</v>
      </c>
      <c r="I12" s="61">
        <f t="shared" si="0"/>
        <v>450214030</v>
      </c>
    </row>
    <row r="13" spans="1:9">
      <c r="A13" s="52" t="s">
        <v>45</v>
      </c>
      <c r="B13" s="53">
        <v>53903827</v>
      </c>
      <c r="C13" s="53">
        <v>0</v>
      </c>
      <c r="D13" s="54">
        <v>0</v>
      </c>
      <c r="E13" s="53">
        <v>0</v>
      </c>
      <c r="F13" s="53">
        <v>0</v>
      </c>
      <c r="G13" s="53">
        <v>0</v>
      </c>
      <c r="H13" s="55">
        <v>0</v>
      </c>
      <c r="I13" s="56">
        <f t="shared" si="0"/>
        <v>53903827</v>
      </c>
    </row>
    <row r="14" spans="1:9">
      <c r="A14" s="57" t="s">
        <v>46</v>
      </c>
      <c r="B14" s="58">
        <v>146366602</v>
      </c>
      <c r="C14" s="58">
        <v>20453047</v>
      </c>
      <c r="D14" s="59">
        <v>0</v>
      </c>
      <c r="E14" s="58">
        <v>545752</v>
      </c>
      <c r="F14" s="58">
        <v>0</v>
      </c>
      <c r="G14" s="58">
        <v>0</v>
      </c>
      <c r="H14" s="60">
        <v>0</v>
      </c>
      <c r="I14" s="61">
        <f t="shared" si="0"/>
        <v>167365401</v>
      </c>
    </row>
    <row r="15" spans="1:9">
      <c r="A15" s="52" t="s">
        <v>47</v>
      </c>
      <c r="B15" s="53">
        <v>59443136</v>
      </c>
      <c r="C15" s="53">
        <v>0</v>
      </c>
      <c r="D15" s="54">
        <v>0</v>
      </c>
      <c r="E15" s="53">
        <v>0</v>
      </c>
      <c r="F15" s="53">
        <v>0</v>
      </c>
      <c r="G15" s="53">
        <v>0</v>
      </c>
      <c r="H15" s="55">
        <v>0</v>
      </c>
      <c r="I15" s="56">
        <f t="shared" si="0"/>
        <v>59443136</v>
      </c>
    </row>
    <row r="16" spans="1:9">
      <c r="A16" s="57" t="s">
        <v>48</v>
      </c>
      <c r="B16" s="58">
        <v>50646135.549999997</v>
      </c>
      <c r="C16" s="58">
        <v>0</v>
      </c>
      <c r="D16" s="59">
        <v>0</v>
      </c>
      <c r="E16" s="58">
        <v>95412</v>
      </c>
      <c r="F16" s="58">
        <v>0</v>
      </c>
      <c r="G16" s="58">
        <v>0</v>
      </c>
      <c r="H16" s="60">
        <v>0</v>
      </c>
      <c r="I16" s="61">
        <f t="shared" si="0"/>
        <v>50741547.549999997</v>
      </c>
    </row>
    <row r="17" spans="1:9">
      <c r="A17" s="52" t="s">
        <v>49</v>
      </c>
      <c r="B17" s="53">
        <v>48954215.700000003</v>
      </c>
      <c r="C17" s="53">
        <v>0</v>
      </c>
      <c r="D17" s="54">
        <v>0</v>
      </c>
      <c r="E17" s="53">
        <v>0</v>
      </c>
      <c r="F17" s="53">
        <v>0</v>
      </c>
      <c r="G17" s="53">
        <v>0</v>
      </c>
      <c r="H17" s="55">
        <v>0</v>
      </c>
      <c r="I17" s="56">
        <f t="shared" si="0"/>
        <v>48954215.700000003</v>
      </c>
    </row>
    <row r="18" spans="1:9">
      <c r="A18" s="57" t="s">
        <v>50</v>
      </c>
      <c r="B18" s="58">
        <v>228238262</v>
      </c>
      <c r="C18" s="58">
        <v>0</v>
      </c>
      <c r="D18" s="59">
        <v>0</v>
      </c>
      <c r="E18" s="58">
        <v>2107122</v>
      </c>
      <c r="F18" s="58">
        <v>0</v>
      </c>
      <c r="G18" s="58">
        <v>0</v>
      </c>
      <c r="H18" s="60">
        <v>0</v>
      </c>
      <c r="I18" s="61">
        <f t="shared" si="0"/>
        <v>230345384</v>
      </c>
    </row>
    <row r="19" spans="1:9">
      <c r="A19" s="52" t="s">
        <v>51</v>
      </c>
      <c r="B19" s="53">
        <v>374493791</v>
      </c>
      <c r="C19" s="53">
        <v>0</v>
      </c>
      <c r="D19" s="54">
        <v>0</v>
      </c>
      <c r="E19" s="53">
        <v>0</v>
      </c>
      <c r="F19" s="53">
        <v>0</v>
      </c>
      <c r="G19" s="53">
        <v>0</v>
      </c>
      <c r="H19" s="55">
        <v>0</v>
      </c>
      <c r="I19" s="56">
        <f t="shared" si="0"/>
        <v>374493791</v>
      </c>
    </row>
    <row r="20" spans="1:9">
      <c r="A20" s="57" t="s">
        <v>52</v>
      </c>
      <c r="B20" s="58">
        <v>215680718</v>
      </c>
      <c r="C20" s="58">
        <v>2638733</v>
      </c>
      <c r="D20" s="59">
        <v>0</v>
      </c>
      <c r="E20" s="58">
        <v>19497402</v>
      </c>
      <c r="F20" s="58">
        <v>0</v>
      </c>
      <c r="G20" s="58">
        <v>69759000</v>
      </c>
      <c r="H20" s="60">
        <v>0</v>
      </c>
      <c r="I20" s="61">
        <f t="shared" si="0"/>
        <v>307575853</v>
      </c>
    </row>
    <row r="21" spans="1:9">
      <c r="A21" s="52" t="s">
        <v>53</v>
      </c>
      <c r="B21" s="53">
        <v>519519491.80000001</v>
      </c>
      <c r="C21" s="53">
        <v>117596435</v>
      </c>
      <c r="D21" s="54">
        <v>0</v>
      </c>
      <c r="E21" s="53">
        <v>1027991040.1</v>
      </c>
      <c r="F21" s="53">
        <v>0</v>
      </c>
      <c r="G21" s="53">
        <v>1387257651</v>
      </c>
      <c r="H21" s="55">
        <v>0</v>
      </c>
      <c r="I21" s="56">
        <f t="shared" si="0"/>
        <v>3052364617.9000001</v>
      </c>
    </row>
    <row r="22" spans="1:9">
      <c r="A22" s="57" t="s">
        <v>54</v>
      </c>
      <c r="B22" s="58">
        <v>280696553</v>
      </c>
      <c r="C22" s="58">
        <v>39164968</v>
      </c>
      <c r="D22" s="59">
        <v>0</v>
      </c>
      <c r="E22" s="58">
        <v>389630878</v>
      </c>
      <c r="F22" s="58">
        <v>0</v>
      </c>
      <c r="G22" s="58">
        <v>818262126</v>
      </c>
      <c r="H22" s="60">
        <v>0</v>
      </c>
      <c r="I22" s="61">
        <f t="shared" si="0"/>
        <v>1527754525</v>
      </c>
    </row>
    <row r="23" spans="1:9">
      <c r="A23" s="52" t="s">
        <v>55</v>
      </c>
      <c r="B23" s="53">
        <v>156346866.69999999</v>
      </c>
      <c r="C23" s="53">
        <v>0</v>
      </c>
      <c r="D23" s="54">
        <v>66396.5</v>
      </c>
      <c r="E23" s="53">
        <v>264121677.59999999</v>
      </c>
      <c r="F23" s="53">
        <v>0</v>
      </c>
      <c r="G23" s="53">
        <v>0</v>
      </c>
      <c r="H23" s="55">
        <v>0</v>
      </c>
      <c r="I23" s="56">
        <f t="shared" si="0"/>
        <v>420534940.79999995</v>
      </c>
    </row>
    <row r="24" spans="1:9">
      <c r="A24" s="57" t="s">
        <v>56</v>
      </c>
      <c r="B24" s="58">
        <v>57510249.100000001</v>
      </c>
      <c r="C24" s="58">
        <v>1013464.8</v>
      </c>
      <c r="D24" s="59">
        <v>9946830.6500000004</v>
      </c>
      <c r="E24" s="58">
        <v>1437774.15</v>
      </c>
      <c r="F24" s="58">
        <v>0</v>
      </c>
      <c r="G24" s="58">
        <v>0</v>
      </c>
      <c r="H24" s="60">
        <v>0</v>
      </c>
      <c r="I24" s="61">
        <f t="shared" si="0"/>
        <v>69908318.700000003</v>
      </c>
    </row>
    <row r="25" spans="1:9">
      <c r="A25" s="52" t="s">
        <v>57</v>
      </c>
      <c r="B25" s="53">
        <v>14545802.65</v>
      </c>
      <c r="C25" s="53">
        <v>0</v>
      </c>
      <c r="D25" s="54">
        <v>1045991.4</v>
      </c>
      <c r="E25" s="53">
        <v>568720.94999999995</v>
      </c>
      <c r="F25" s="53">
        <v>0</v>
      </c>
      <c r="G25" s="53">
        <v>0</v>
      </c>
      <c r="H25" s="55">
        <v>0</v>
      </c>
      <c r="I25" s="56">
        <f t="shared" si="0"/>
        <v>16160515</v>
      </c>
    </row>
    <row r="26" spans="1:9">
      <c r="A26" s="57" t="s">
        <v>58</v>
      </c>
      <c r="B26" s="58">
        <v>552900348.70000005</v>
      </c>
      <c r="C26" s="58">
        <v>34621654.549999997</v>
      </c>
      <c r="D26" s="59">
        <v>374495415</v>
      </c>
      <c r="E26" s="58">
        <v>42003228</v>
      </c>
      <c r="F26" s="58">
        <v>0</v>
      </c>
      <c r="G26" s="58">
        <v>0</v>
      </c>
      <c r="H26" s="60">
        <v>0</v>
      </c>
      <c r="I26" s="61">
        <f t="shared" si="0"/>
        <v>1004020646.25</v>
      </c>
    </row>
    <row r="27" spans="1:9">
      <c r="A27" s="52" t="s">
        <v>59</v>
      </c>
      <c r="B27" s="53">
        <v>538748640</v>
      </c>
      <c r="C27" s="53">
        <v>65529786</v>
      </c>
      <c r="D27" s="54">
        <v>17158311</v>
      </c>
      <c r="E27" s="53">
        <v>182122</v>
      </c>
      <c r="F27" s="53">
        <v>0</v>
      </c>
      <c r="G27" s="53">
        <v>0</v>
      </c>
      <c r="H27" s="55">
        <v>75501002</v>
      </c>
      <c r="I27" s="56">
        <f t="shared" si="0"/>
        <v>697119861</v>
      </c>
    </row>
    <row r="28" spans="1:9">
      <c r="A28" s="57" t="s">
        <v>60</v>
      </c>
      <c r="B28" s="58">
        <v>0</v>
      </c>
      <c r="C28" s="58">
        <v>0</v>
      </c>
      <c r="D28" s="59">
        <v>0</v>
      </c>
      <c r="E28" s="58">
        <v>0</v>
      </c>
      <c r="F28" s="58">
        <v>0</v>
      </c>
      <c r="G28" s="58">
        <v>0</v>
      </c>
      <c r="H28" s="60">
        <v>0</v>
      </c>
      <c r="I28" s="192">
        <f t="shared" si="0"/>
        <v>0</v>
      </c>
    </row>
    <row r="29" spans="1:9">
      <c r="A29" s="52" t="s">
        <v>61</v>
      </c>
      <c r="B29" s="53">
        <v>287372247.23000002</v>
      </c>
      <c r="C29" s="53">
        <v>6731376.25</v>
      </c>
      <c r="D29" s="54">
        <v>15167795.710000001</v>
      </c>
      <c r="E29" s="53">
        <v>176509750.06</v>
      </c>
      <c r="F29" s="53">
        <v>0</v>
      </c>
      <c r="G29" s="53">
        <v>0</v>
      </c>
      <c r="H29" s="55">
        <v>0</v>
      </c>
      <c r="I29" s="56">
        <f t="shared" si="0"/>
        <v>485781169.25</v>
      </c>
    </row>
    <row r="30" spans="1:9">
      <c r="A30" s="57" t="s">
        <v>62</v>
      </c>
      <c r="B30" s="58">
        <v>766599205</v>
      </c>
      <c r="C30" s="58">
        <v>57377689</v>
      </c>
      <c r="D30" s="59">
        <v>0</v>
      </c>
      <c r="E30" s="58">
        <v>0</v>
      </c>
      <c r="F30" s="58">
        <v>0</v>
      </c>
      <c r="G30" s="58">
        <v>0</v>
      </c>
      <c r="H30" s="60">
        <v>1855211969</v>
      </c>
      <c r="I30" s="61">
        <f t="shared" si="0"/>
        <v>2679188863</v>
      </c>
    </row>
    <row r="31" spans="1:9">
      <c r="A31" s="52" t="s">
        <v>63</v>
      </c>
      <c r="B31" s="53">
        <v>1351311138.5</v>
      </c>
      <c r="C31" s="53">
        <v>0</v>
      </c>
      <c r="D31" s="54">
        <v>0</v>
      </c>
      <c r="E31" s="53">
        <v>0</v>
      </c>
      <c r="F31" s="53">
        <v>0</v>
      </c>
      <c r="G31" s="53">
        <v>1067435974</v>
      </c>
      <c r="H31" s="55">
        <v>0</v>
      </c>
      <c r="I31" s="56">
        <f t="shared" si="0"/>
        <v>2418747112.5</v>
      </c>
    </row>
    <row r="32" spans="1:9">
      <c r="A32" s="57" t="s">
        <v>64</v>
      </c>
      <c r="B32" s="58">
        <v>644160929</v>
      </c>
      <c r="C32" s="58">
        <v>1021254</v>
      </c>
      <c r="D32" s="59">
        <v>0</v>
      </c>
      <c r="E32" s="58">
        <v>0</v>
      </c>
      <c r="F32" s="58">
        <v>0</v>
      </c>
      <c r="G32" s="58">
        <v>46178594</v>
      </c>
      <c r="H32" s="60">
        <v>41669250</v>
      </c>
      <c r="I32" s="61">
        <f t="shared" si="0"/>
        <v>733030027</v>
      </c>
    </row>
    <row r="33" spans="1:9">
      <c r="A33" s="52" t="s">
        <v>65</v>
      </c>
      <c r="B33" s="53">
        <v>297215008</v>
      </c>
      <c r="C33" s="53">
        <v>3870966</v>
      </c>
      <c r="D33" s="54">
        <v>0</v>
      </c>
      <c r="E33" s="53">
        <v>0</v>
      </c>
      <c r="F33" s="53">
        <v>0</v>
      </c>
      <c r="G33" s="53">
        <v>443798564</v>
      </c>
      <c r="H33" s="55">
        <v>0</v>
      </c>
      <c r="I33" s="56">
        <f t="shared" si="0"/>
        <v>744884538</v>
      </c>
    </row>
    <row r="34" spans="1:9">
      <c r="A34" s="57" t="s">
        <v>66</v>
      </c>
      <c r="B34" s="58">
        <v>1347063170.6500001</v>
      </c>
      <c r="C34" s="58">
        <v>0</v>
      </c>
      <c r="D34" s="59">
        <v>0</v>
      </c>
      <c r="E34" s="58">
        <v>0</v>
      </c>
      <c r="F34" s="58">
        <v>4563561572.6499996</v>
      </c>
      <c r="G34" s="58">
        <v>0</v>
      </c>
      <c r="H34" s="60">
        <v>0</v>
      </c>
      <c r="I34" s="61">
        <f t="shared" si="0"/>
        <v>5910624743.2999992</v>
      </c>
    </row>
    <row r="35" spans="1:9">
      <c r="A35" s="62" t="s">
        <v>104</v>
      </c>
      <c r="B35" s="190">
        <v>51899797.395796299</v>
      </c>
      <c r="C35" s="63">
        <v>3059319.15</v>
      </c>
      <c r="D35" s="64">
        <v>0</v>
      </c>
      <c r="E35" s="63">
        <v>740937.8</v>
      </c>
      <c r="F35" s="63">
        <v>0</v>
      </c>
      <c r="G35" s="63">
        <v>273195178</v>
      </c>
      <c r="H35" s="65">
        <v>0</v>
      </c>
      <c r="I35" s="191">
        <f t="shared" si="0"/>
        <v>328895232.34579629</v>
      </c>
    </row>
    <row r="36" spans="1:9">
      <c r="A36" s="2" t="s">
        <v>68</v>
      </c>
      <c r="B36" s="66">
        <f t="shared" ref="B36:H36" si="1">SUM(B10:B35)</f>
        <v>12495603194.975796</v>
      </c>
      <c r="C36" s="66">
        <f t="shared" si="1"/>
        <v>372234060.75</v>
      </c>
      <c r="D36" s="67">
        <f t="shared" si="1"/>
        <v>417880740.25999999</v>
      </c>
      <c r="E36" s="66">
        <f t="shared" si="1"/>
        <v>2249960258.6600003</v>
      </c>
      <c r="F36" s="66">
        <f t="shared" si="1"/>
        <v>4563561572.6499996</v>
      </c>
      <c r="G36" s="66">
        <f t="shared" si="1"/>
        <v>4167067154</v>
      </c>
      <c r="H36" s="68">
        <f t="shared" si="1"/>
        <v>1972382221</v>
      </c>
      <c r="I36" s="69">
        <f t="shared" si="0"/>
        <v>26238689202.295795</v>
      </c>
    </row>
    <row r="37" spans="1:9">
      <c r="A37" s="124" t="s">
        <v>103</v>
      </c>
    </row>
  </sheetData>
  <mergeCells count="5">
    <mergeCell ref="C6:C7"/>
    <mergeCell ref="B6:B7"/>
    <mergeCell ref="D6:H6"/>
    <mergeCell ref="A6:A7"/>
    <mergeCell ref="I6:I7"/>
  </mergeCells>
  <conditionalFormatting sqref="B10:H35">
    <cfRule type="expression" dxfId="9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9" customWidth="1"/>
    <col min="2" max="2" width="12.33203125" style="35" customWidth="1"/>
    <col min="3" max="3" width="15.88671875" style="9" customWidth="1"/>
    <col min="4" max="4" width="10" style="9" customWidth="1"/>
  </cols>
  <sheetData>
    <row r="1" spans="1:4" ht="18" customHeight="1">
      <c r="A1" s="71" t="str">
        <f>"Gamma calculation "&amp;Info!C31</f>
        <v>Gamma calculation 2005</v>
      </c>
      <c r="B1" s="72"/>
    </row>
    <row r="2" spans="1:4" ht="15.75" customHeight="1">
      <c r="A2" s="73" t="str">
        <f>Gross_wages!A2</f>
        <v>Reference year 2009</v>
      </c>
      <c r="B2" s="74"/>
    </row>
    <row r="3" spans="1:4" ht="33" customHeight="1">
      <c r="C3" s="75" t="str">
        <f>Info!$C$28</f>
        <v>FA_2009_20120423</v>
      </c>
    </row>
    <row r="4" spans="1:4" ht="15.75" customHeight="1">
      <c r="B4" s="76" t="s">
        <v>38</v>
      </c>
      <c r="C4" s="77" t="s">
        <v>69</v>
      </c>
      <c r="D4" s="78"/>
    </row>
    <row r="5" spans="1:4">
      <c r="A5" s="70" t="s">
        <v>70</v>
      </c>
      <c r="B5" s="79" t="s">
        <v>71</v>
      </c>
      <c r="C5" s="80">
        <v>343455176.168001</v>
      </c>
      <c r="D5" s="81"/>
    </row>
    <row r="6" spans="1:4">
      <c r="A6" s="82" t="s">
        <v>72</v>
      </c>
      <c r="B6" s="83" t="str">
        <f>"ATB_"&amp;Info!C30&amp;"_"&amp;Info!C31&amp;".xlsx"</f>
        <v>ATB_2009_2005.xlsx</v>
      </c>
      <c r="C6" s="84">
        <f>Calculation_ITS!O39</f>
        <v>142078662.50000003</v>
      </c>
      <c r="D6" s="81"/>
    </row>
    <row r="7" spans="1:4" ht="24.75" customHeight="1">
      <c r="A7" s="85" t="s">
        <v>73</v>
      </c>
      <c r="B7" s="86"/>
      <c r="C7" s="87">
        <f>ROUND(C6/C5,3)</f>
        <v>0.41399999999999998</v>
      </c>
    </row>
    <row r="8" spans="1:4" ht="15.75" customHeight="1"/>
  </sheetData>
  <conditionalFormatting sqref="C5:C6">
    <cfRule type="expression" dxfId="8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9" customWidth="1"/>
    <col min="2" max="2" width="18.77734375" style="9" customWidth="1"/>
    <col min="3" max="3" width="13.33203125" style="9" customWidth="1"/>
    <col min="4" max="5" width="13.44140625" style="9" customWidth="1"/>
    <col min="6" max="7" width="15.109375" style="9" customWidth="1"/>
    <col min="8" max="9" width="13.33203125" style="9" customWidth="1"/>
    <col min="10" max="10" width="10.88671875" style="9" customWidth="1"/>
    <col min="11" max="12" width="13.77734375" style="9" customWidth="1"/>
    <col min="13" max="13" width="2" style="9" customWidth="1"/>
    <col min="14" max="14" width="15.33203125" style="9" customWidth="1"/>
    <col min="15" max="15" width="15.21875" style="9" customWidth="1"/>
    <col min="16" max="16" width="21.6640625" style="9" customWidth="1"/>
    <col min="17" max="17" width="16.21875" style="9" customWidth="1"/>
    <col min="18" max="18" width="3.6640625" style="88" customWidth="1"/>
    <col min="19" max="19" width="18.77734375" style="9" customWidth="1"/>
    <col min="20" max="20" width="3.6640625" style="9" customWidth="1"/>
    <col min="21" max="21" width="11.5546875" style="9" customWidth="1"/>
    <col min="22" max="22" width="17.5546875" style="9" customWidth="1"/>
    <col min="23" max="23" width="11.5546875" style="9" customWidth="1"/>
    <col min="24" max="16384" width="11.5546875" style="9"/>
  </cols>
  <sheetData>
    <row r="1" spans="1:22" ht="26.25" customHeight="1">
      <c r="A1" s="10" t="str">
        <f>"Income taxed at source (ITS) "&amp;Info!C31</f>
        <v>Income taxed at source (ITS) 2005</v>
      </c>
      <c r="B1" s="10"/>
      <c r="C1" s="10"/>
      <c r="D1" s="10"/>
      <c r="E1" s="10"/>
      <c r="F1" s="10"/>
      <c r="H1" s="11"/>
      <c r="R1" s="9"/>
    </row>
    <row r="2" spans="1:22" ht="18.75" customHeight="1">
      <c r="A2" s="89" t="str">
        <f>Info!A5</f>
        <v>Reference year 2009</v>
      </c>
      <c r="B2" s="90"/>
      <c r="H2" s="88"/>
      <c r="R2" s="9"/>
    </row>
    <row r="3" spans="1:22" ht="18.75" customHeight="1">
      <c r="A3" s="91"/>
      <c r="B3" s="90"/>
      <c r="H3" s="88"/>
      <c r="L3" s="92" t="str">
        <f>Info!C28</f>
        <v>FA_2009_20120423</v>
      </c>
      <c r="R3" s="9"/>
    </row>
    <row r="4" spans="1:22" ht="37.5" customHeight="1">
      <c r="A4" s="226" t="str">
        <f>"Calculation based on gross wages "&amp;Info!C31</f>
        <v>Calculation based on gross wages 2005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8"/>
      <c r="N4" s="212" t="s">
        <v>74</v>
      </c>
      <c r="O4" s="213"/>
      <c r="P4" s="213"/>
      <c r="Q4" s="214"/>
      <c r="S4" s="93"/>
    </row>
    <row r="5" spans="1:22" ht="16.5" customHeight="1">
      <c r="A5" s="94"/>
      <c r="B5" s="95"/>
      <c r="C5" s="95"/>
      <c r="D5" s="95"/>
      <c r="E5" s="95"/>
      <c r="F5" s="95"/>
      <c r="G5" s="95"/>
      <c r="H5" s="95"/>
      <c r="I5" s="94"/>
      <c r="J5" s="95"/>
      <c r="K5" s="95"/>
      <c r="N5" s="96"/>
    </row>
    <row r="6" spans="1:22" ht="16.5" customHeight="1">
      <c r="A6" s="97" t="s">
        <v>75</v>
      </c>
      <c r="B6" s="98" t="s">
        <v>13</v>
      </c>
      <c r="C6" s="98" t="s">
        <v>14</v>
      </c>
      <c r="D6" s="98" t="s">
        <v>15</v>
      </c>
      <c r="E6" s="98" t="s">
        <v>16</v>
      </c>
      <c r="F6" s="98" t="s">
        <v>17</v>
      </c>
      <c r="G6" s="98" t="s">
        <v>18</v>
      </c>
      <c r="H6" s="98" t="s">
        <v>19</v>
      </c>
      <c r="I6" s="98" t="s">
        <v>76</v>
      </c>
      <c r="J6" s="98" t="s">
        <v>77</v>
      </c>
      <c r="K6" s="98" t="s">
        <v>78</v>
      </c>
      <c r="L6" s="99" t="s">
        <v>79</v>
      </c>
      <c r="M6" s="100"/>
      <c r="N6" s="101"/>
      <c r="O6" s="102" t="s">
        <v>80</v>
      </c>
      <c r="P6" s="102" t="s">
        <v>81</v>
      </c>
      <c r="Q6" s="103" t="s">
        <v>82</v>
      </c>
      <c r="R6" s="104"/>
      <c r="S6" s="105" t="s">
        <v>83</v>
      </c>
    </row>
    <row r="7" spans="1:22" ht="16.5" customHeight="1">
      <c r="A7" s="106" t="s">
        <v>21</v>
      </c>
      <c r="B7" s="107" t="s">
        <v>84</v>
      </c>
      <c r="C7" s="107" t="s">
        <v>84</v>
      </c>
      <c r="D7" s="108" t="str">
        <f>IF(Info!C31&lt;2006,"0.03 / STR","(1-0.125)*gamma")</f>
        <v>0.03 / STR</v>
      </c>
      <c r="E7" s="109" t="s">
        <v>85</v>
      </c>
      <c r="F7" s="109" t="s">
        <v>86</v>
      </c>
      <c r="G7" s="109" t="s">
        <v>85</v>
      </c>
      <c r="H7" s="110" t="s">
        <v>87</v>
      </c>
      <c r="I7" s="109" t="s">
        <v>88</v>
      </c>
      <c r="J7" s="109"/>
      <c r="K7" s="109" t="s">
        <v>89</v>
      </c>
      <c r="L7" s="111" t="s">
        <v>90</v>
      </c>
      <c r="M7" s="100"/>
      <c r="N7" s="112" t="s">
        <v>21</v>
      </c>
      <c r="O7" s="113"/>
      <c r="P7" s="113"/>
      <c r="Q7" s="114" t="s">
        <v>91</v>
      </c>
      <c r="R7" s="104"/>
      <c r="S7" s="115" t="s">
        <v>92</v>
      </c>
    </row>
    <row r="8" spans="1:22" s="1" customFormat="1" ht="15.75" customHeight="1">
      <c r="A8" s="25" t="s">
        <v>23</v>
      </c>
      <c r="B8" s="26">
        <v>0</v>
      </c>
      <c r="C8" s="26">
        <v>1</v>
      </c>
      <c r="D8" s="28" t="s">
        <v>24</v>
      </c>
      <c r="E8" s="26" t="s">
        <v>25</v>
      </c>
      <c r="F8" s="26" t="s">
        <v>26</v>
      </c>
      <c r="G8" s="26" t="s">
        <v>27</v>
      </c>
      <c r="H8" s="27" t="s">
        <v>28</v>
      </c>
      <c r="I8" s="26"/>
      <c r="J8" s="26"/>
      <c r="K8" s="116"/>
      <c r="L8" s="29"/>
      <c r="M8" s="117"/>
      <c r="N8" s="30"/>
      <c r="O8" s="223" t="str">
        <f>"Relevant income "&amp;Info!C31</f>
        <v>Relevant income 2005</v>
      </c>
      <c r="P8" s="201" t="s">
        <v>93</v>
      </c>
      <c r="Q8" s="208" t="s">
        <v>94</v>
      </c>
      <c r="R8" s="118"/>
      <c r="S8" s="215" t="s">
        <v>95</v>
      </c>
    </row>
    <row r="9" spans="1:22" s="119" customFormat="1" ht="15.75" customHeight="1">
      <c r="A9" s="30"/>
      <c r="B9" s="201" t="s">
        <v>29</v>
      </c>
      <c r="C9" s="201" t="s">
        <v>30</v>
      </c>
      <c r="D9" s="203" t="s">
        <v>31</v>
      </c>
      <c r="E9" s="204"/>
      <c r="F9" s="204"/>
      <c r="G9" s="204"/>
      <c r="H9" s="205"/>
      <c r="I9" s="201" t="s">
        <v>96</v>
      </c>
      <c r="J9" s="201" t="s">
        <v>97</v>
      </c>
      <c r="K9" s="201" t="s">
        <v>98</v>
      </c>
      <c r="L9" s="208" t="s">
        <v>99</v>
      </c>
      <c r="M9" s="117"/>
      <c r="N9" s="120"/>
      <c r="O9" s="224"/>
      <c r="P9" s="221"/>
      <c r="Q9" s="210"/>
      <c r="R9" s="118"/>
      <c r="S9" s="216"/>
      <c r="U9" s="121"/>
      <c r="V9" s="122" t="str">
        <f>Info!C28</f>
        <v>FA_2009_20120423</v>
      </c>
    </row>
    <row r="10" spans="1:22" s="119" customFormat="1" ht="66" customHeight="1">
      <c r="A10" s="31"/>
      <c r="B10" s="221"/>
      <c r="C10" s="221"/>
      <c r="D10" s="32" t="s">
        <v>33</v>
      </c>
      <c r="E10" s="33" t="s">
        <v>34</v>
      </c>
      <c r="F10" s="33" t="s">
        <v>35</v>
      </c>
      <c r="G10" s="33" t="s">
        <v>36</v>
      </c>
      <c r="H10" s="34" t="s">
        <v>37</v>
      </c>
      <c r="I10" s="221"/>
      <c r="J10" s="221"/>
      <c r="K10" s="221"/>
      <c r="L10" s="210"/>
      <c r="M10" s="117"/>
      <c r="N10" s="123"/>
      <c r="O10" s="225"/>
      <c r="P10" s="222"/>
      <c r="Q10" s="211"/>
      <c r="R10" s="118"/>
      <c r="S10" s="216"/>
      <c r="U10" s="219" t="str">
        <f>"Standardised tax revenue (STR) "&amp;Info!C30-1</f>
        <v>Standardised tax revenue (STR) 2008</v>
      </c>
      <c r="V10" s="220"/>
    </row>
    <row r="11" spans="1:22" s="124" customFormat="1" ht="15" customHeight="1">
      <c r="A11" s="125" t="s">
        <v>100</v>
      </c>
      <c r="B11" s="126">
        <f>gamma</f>
        <v>0.41399999999999998</v>
      </c>
      <c r="C11" s="126">
        <f>gamma</f>
        <v>0.41399999999999998</v>
      </c>
      <c r="D11" s="127">
        <f>IF(Info!C31&lt;2006,0.03/sst,0.875*gamma)</f>
        <v>0.1075268817204301</v>
      </c>
      <c r="E11" s="126">
        <f>0.045/sst</f>
        <v>0.16129032258064513</v>
      </c>
      <c r="F11" s="126">
        <f>gamma-0.035/sst</f>
        <v>0.28855197132616484</v>
      </c>
      <c r="G11" s="126">
        <f>0.045/sst</f>
        <v>0.16129032258064513</v>
      </c>
      <c r="H11" s="128">
        <f>0.6*gamma</f>
        <v>0.24839999999999998</v>
      </c>
      <c r="I11" s="126"/>
      <c r="J11" s="126"/>
      <c r="K11" s="126"/>
      <c r="L11" s="129"/>
      <c r="M11" s="130"/>
      <c r="N11" s="131" t="s">
        <v>38</v>
      </c>
      <c r="O11" s="132" t="str">
        <f>Gamma!B6</f>
        <v>ATB_2009_2005.xlsx</v>
      </c>
      <c r="P11" s="132"/>
      <c r="Q11" s="132"/>
      <c r="R11" s="133"/>
      <c r="S11" s="134"/>
      <c r="U11" s="217" t="str">
        <f>"Data source: ER_"&amp;Info!C30-1&amp;".xlsx"</f>
        <v>Data source: ER_2008.xlsx</v>
      </c>
      <c r="V11" s="218"/>
    </row>
    <row r="12" spans="1:22" s="124" customFormat="1" ht="12.75">
      <c r="A12" s="125" t="s">
        <v>40</v>
      </c>
      <c r="B12" s="126" t="s">
        <v>69</v>
      </c>
      <c r="C12" s="126" t="s">
        <v>69</v>
      </c>
      <c r="D12" s="127" t="s">
        <v>69</v>
      </c>
      <c r="E12" s="126" t="s">
        <v>69</v>
      </c>
      <c r="F12" s="126" t="s">
        <v>69</v>
      </c>
      <c r="G12" s="126" t="s">
        <v>69</v>
      </c>
      <c r="H12" s="128" t="s">
        <v>69</v>
      </c>
      <c r="I12" s="126" t="s">
        <v>69</v>
      </c>
      <c r="J12" s="126"/>
      <c r="K12" s="126" t="s">
        <v>69</v>
      </c>
      <c r="L12" s="135" t="s">
        <v>69</v>
      </c>
      <c r="M12" s="130"/>
      <c r="N12" s="125" t="s">
        <v>40</v>
      </c>
      <c r="O12" s="126" t="s">
        <v>69</v>
      </c>
      <c r="P12" s="136"/>
      <c r="Q12" s="135" t="s">
        <v>69</v>
      </c>
      <c r="R12" s="133"/>
      <c r="S12" s="137" t="s">
        <v>69</v>
      </c>
      <c r="U12" s="138"/>
      <c r="V12" s="139"/>
    </row>
    <row r="13" spans="1:22" ht="15.75" customHeight="1">
      <c r="A13" s="140" t="s">
        <v>42</v>
      </c>
      <c r="B13" s="141">
        <f>(Gross_wages!B10*B$11)/1000</f>
        <v>1223486.6883839997</v>
      </c>
      <c r="C13" s="141">
        <f>(Gross_wages!C10*C$11)/1000</f>
        <v>7930.3223520000001</v>
      </c>
      <c r="D13" s="142">
        <f>(Gross_wages!D10*D$11)/1000</f>
        <v>0</v>
      </c>
      <c r="E13" s="141">
        <f>(Gross_wages!E10*E$11)/1000</f>
        <v>51344.263870967734</v>
      </c>
      <c r="F13" s="141">
        <f>(Gross_wages!F10*F$11)/1000</f>
        <v>0</v>
      </c>
      <c r="G13" s="141">
        <f>(Gross_wages!G10*G$11)/1000</f>
        <v>0</v>
      </c>
      <c r="H13" s="143">
        <f>(Gross_wages!H10*H$11)/1000</f>
        <v>0</v>
      </c>
      <c r="I13" s="141">
        <f t="shared" ref="I13:I38" si="0">SUM(C13:H13)</f>
        <v>59274.586222967737</v>
      </c>
      <c r="J13" s="144">
        <f t="shared" ref="J13:J38" si="1">$J$39</f>
        <v>1</v>
      </c>
      <c r="K13" s="141">
        <f t="shared" ref="K13:K39" si="2">I13*J13</f>
        <v>59274.586222967737</v>
      </c>
      <c r="L13" s="145">
        <f t="shared" ref="L13:L39" si="3">K13+B13</f>
        <v>1282761.2746069676</v>
      </c>
      <c r="M13" s="146"/>
      <c r="N13" s="140" t="s">
        <v>42</v>
      </c>
      <c r="O13" s="147">
        <v>30265007.899999999</v>
      </c>
      <c r="P13" s="148">
        <v>5.2443096523006202E-2</v>
      </c>
      <c r="Q13" s="145">
        <f>IF(Calculation_ITS!L13=0,O13*P13,0)</f>
        <v>0</v>
      </c>
      <c r="R13" s="149"/>
      <c r="S13" s="150">
        <f>Calculation_ITS!L13+Q13</f>
        <v>1282761.2746069676</v>
      </c>
      <c r="U13" s="151" t="s">
        <v>101</v>
      </c>
      <c r="V13" s="189">
        <v>0.27900000000000003</v>
      </c>
    </row>
    <row r="14" spans="1:22" ht="15.75" customHeight="1">
      <c r="A14" s="152" t="s">
        <v>43</v>
      </c>
      <c r="B14" s="153">
        <f>(Gross_wages!B11*B$11)/1000</f>
        <v>434660.14049399993</v>
      </c>
      <c r="C14" s="153">
        <f>(Gross_wages!C11*C$11)/1000</f>
        <v>0</v>
      </c>
      <c r="D14" s="154">
        <f>(Gross_wages!D11*D$11)/1000</f>
        <v>0</v>
      </c>
      <c r="E14" s="153">
        <f>(Gross_wages!E11*E$11)/1000</f>
        <v>448.6224193548386</v>
      </c>
      <c r="F14" s="153">
        <f>(Gross_wages!F11*F$11)/1000</f>
        <v>0</v>
      </c>
      <c r="G14" s="153">
        <f>(Gross_wages!G11*G$11)/1000</f>
        <v>9867.7527419354828</v>
      </c>
      <c r="H14" s="155">
        <f>(Gross_wages!H11*H$11)/1000</f>
        <v>0</v>
      </c>
      <c r="I14" s="153">
        <f t="shared" si="0"/>
        <v>10316.375161290322</v>
      </c>
      <c r="J14" s="156">
        <f t="shared" si="1"/>
        <v>1</v>
      </c>
      <c r="K14" s="153">
        <f t="shared" si="2"/>
        <v>10316.375161290322</v>
      </c>
      <c r="L14" s="157">
        <f t="shared" si="3"/>
        <v>444976.51565529028</v>
      </c>
      <c r="M14" s="146"/>
      <c r="N14" s="152" t="s">
        <v>43</v>
      </c>
      <c r="O14" s="158">
        <v>14813420</v>
      </c>
      <c r="P14" s="159">
        <v>4.9862651457963099E-2</v>
      </c>
      <c r="Q14" s="157">
        <f>IF(Calculation_ITS!L14=0,O14*P14,0)</f>
        <v>0</v>
      </c>
      <c r="R14" s="149"/>
      <c r="S14" s="160">
        <f>Calculation_ITS!L14+Q14</f>
        <v>444976.51565529028</v>
      </c>
      <c r="U14" s="161" t="s">
        <v>102</v>
      </c>
      <c r="V14" s="162">
        <f>ROUND(V13,3)</f>
        <v>0.27900000000000003</v>
      </c>
    </row>
    <row r="15" spans="1:22" ht="15.75" customHeight="1">
      <c r="A15" s="163" t="s">
        <v>44</v>
      </c>
      <c r="B15" s="164">
        <f>(Gross_wages!B12*B$11)/1000</f>
        <v>184975.81396199999</v>
      </c>
      <c r="C15" s="164">
        <f>(Gross_wages!C12*C$11)/1000</f>
        <v>0</v>
      </c>
      <c r="D15" s="165">
        <f>(Gross_wages!D12*D$11)/1000</f>
        <v>0</v>
      </c>
      <c r="E15" s="164">
        <f>(Gross_wages!E12*E$11)/1000</f>
        <v>550.41080645161287</v>
      </c>
      <c r="F15" s="164">
        <f>(Gross_wages!F12*F$11)/1000</f>
        <v>0</v>
      </c>
      <c r="G15" s="164">
        <f>(Gross_wages!G12*G$11)/1000</f>
        <v>0</v>
      </c>
      <c r="H15" s="166">
        <f>(Gross_wages!H12*H$11)/1000</f>
        <v>0</v>
      </c>
      <c r="I15" s="164">
        <f t="shared" si="0"/>
        <v>550.41080645161287</v>
      </c>
      <c r="J15" s="167">
        <f t="shared" si="1"/>
        <v>1</v>
      </c>
      <c r="K15" s="164">
        <f t="shared" si="2"/>
        <v>550.41080645161287</v>
      </c>
      <c r="L15" s="168">
        <f t="shared" si="3"/>
        <v>185526.22476845159</v>
      </c>
      <c r="M15" s="146"/>
      <c r="N15" s="163" t="s">
        <v>44</v>
      </c>
      <c r="O15" s="169">
        <v>5657233.5</v>
      </c>
      <c r="P15" s="170">
        <v>5.49776689857727E-2</v>
      </c>
      <c r="Q15" s="168">
        <f>IF(Calculation_ITS!L15=0,O15*P15,0)</f>
        <v>0</v>
      </c>
      <c r="R15" s="149"/>
      <c r="S15" s="171">
        <f>Calculation_ITS!L15+Q15</f>
        <v>185526.22476845159</v>
      </c>
    </row>
    <row r="16" spans="1:22" ht="15.75" customHeight="1">
      <c r="A16" s="152" t="s">
        <v>45</v>
      </c>
      <c r="B16" s="153">
        <f>(Gross_wages!B13*B$11)/1000</f>
        <v>22316.184377999998</v>
      </c>
      <c r="C16" s="153">
        <f>(Gross_wages!C13*C$11)/1000</f>
        <v>0</v>
      </c>
      <c r="D16" s="154">
        <f>(Gross_wages!D13*D$11)/1000</f>
        <v>0</v>
      </c>
      <c r="E16" s="153">
        <f>(Gross_wages!E13*E$11)/1000</f>
        <v>0</v>
      </c>
      <c r="F16" s="153">
        <f>(Gross_wages!F13*F$11)/1000</f>
        <v>0</v>
      </c>
      <c r="G16" s="153">
        <f>(Gross_wages!G13*G$11)/1000</f>
        <v>0</v>
      </c>
      <c r="H16" s="155">
        <f>(Gross_wages!H13*H$11)/1000</f>
        <v>0</v>
      </c>
      <c r="I16" s="153">
        <f t="shared" si="0"/>
        <v>0</v>
      </c>
      <c r="J16" s="156">
        <f t="shared" si="1"/>
        <v>1</v>
      </c>
      <c r="K16" s="153">
        <f t="shared" si="2"/>
        <v>0</v>
      </c>
      <c r="L16" s="157">
        <f t="shared" si="3"/>
        <v>22316.184377999998</v>
      </c>
      <c r="M16" s="146"/>
      <c r="N16" s="152" t="s">
        <v>45</v>
      </c>
      <c r="O16" s="158">
        <v>427487.7</v>
      </c>
      <c r="P16" s="159">
        <v>6.3019248580559503E-2</v>
      </c>
      <c r="Q16" s="157">
        <f>IF(Calculation_ITS!L16=0,O16*P16,0)</f>
        <v>0</v>
      </c>
      <c r="R16" s="149"/>
      <c r="S16" s="160">
        <f>Calculation_ITS!L16+Q16</f>
        <v>22316.184377999998</v>
      </c>
    </row>
    <row r="17" spans="1:19" ht="15.75" customHeight="1">
      <c r="A17" s="163" t="s">
        <v>46</v>
      </c>
      <c r="B17" s="164">
        <f>(Gross_wages!B14*B$11)/1000</f>
        <v>60595.773227999998</v>
      </c>
      <c r="C17" s="164">
        <f>(Gross_wages!C14*C$11)/1000</f>
        <v>8467.5614579999983</v>
      </c>
      <c r="D17" s="165">
        <f>(Gross_wages!D14*D$11)/1000</f>
        <v>0</v>
      </c>
      <c r="E17" s="164">
        <f>(Gross_wages!E14*E$11)/1000</f>
        <v>88.02451612903225</v>
      </c>
      <c r="F17" s="164">
        <f>(Gross_wages!F14*F$11)/1000</f>
        <v>0</v>
      </c>
      <c r="G17" s="164">
        <f>(Gross_wages!G14*G$11)/1000</f>
        <v>0</v>
      </c>
      <c r="H17" s="166">
        <f>(Gross_wages!H14*H$11)/1000</f>
        <v>0</v>
      </c>
      <c r="I17" s="164">
        <f t="shared" si="0"/>
        <v>8555.5859741290315</v>
      </c>
      <c r="J17" s="167">
        <f t="shared" si="1"/>
        <v>1</v>
      </c>
      <c r="K17" s="164">
        <f t="shared" si="2"/>
        <v>8555.5859741290315</v>
      </c>
      <c r="L17" s="168">
        <f t="shared" si="3"/>
        <v>69151.359202129024</v>
      </c>
      <c r="M17" s="146"/>
      <c r="N17" s="163" t="s">
        <v>46</v>
      </c>
      <c r="O17" s="169">
        <v>3668423</v>
      </c>
      <c r="P17" s="170">
        <v>3.20713694071834E-2</v>
      </c>
      <c r="Q17" s="168">
        <f>IF(Calculation_ITS!L17=0,O17*P17,0)</f>
        <v>0</v>
      </c>
      <c r="R17" s="149"/>
      <c r="S17" s="171">
        <f>Calculation_ITS!L17+Q17</f>
        <v>69151.359202129024</v>
      </c>
    </row>
    <row r="18" spans="1:19" ht="15.75" customHeight="1">
      <c r="A18" s="152" t="s">
        <v>47</v>
      </c>
      <c r="B18" s="153">
        <f>(Gross_wages!B15*B$11)/1000</f>
        <v>24609.458303999996</v>
      </c>
      <c r="C18" s="153">
        <f>(Gross_wages!C15*C$11)/1000</f>
        <v>0</v>
      </c>
      <c r="D18" s="154">
        <f>(Gross_wages!D15*D$11)/1000</f>
        <v>0</v>
      </c>
      <c r="E18" s="153">
        <f>(Gross_wages!E15*E$11)/1000</f>
        <v>0</v>
      </c>
      <c r="F18" s="153">
        <f>(Gross_wages!F15*F$11)/1000</f>
        <v>0</v>
      </c>
      <c r="G18" s="153">
        <f>(Gross_wages!G15*G$11)/1000</f>
        <v>0</v>
      </c>
      <c r="H18" s="155">
        <f>(Gross_wages!H15*H$11)/1000</f>
        <v>0</v>
      </c>
      <c r="I18" s="153">
        <f t="shared" si="0"/>
        <v>0</v>
      </c>
      <c r="J18" s="156">
        <f t="shared" si="1"/>
        <v>1</v>
      </c>
      <c r="K18" s="153">
        <f t="shared" si="2"/>
        <v>0</v>
      </c>
      <c r="L18" s="157">
        <f t="shared" si="3"/>
        <v>24609.458303999996</v>
      </c>
      <c r="M18" s="146"/>
      <c r="N18" s="152" t="s">
        <v>47</v>
      </c>
      <c r="O18" s="158">
        <v>497214.9</v>
      </c>
      <c r="P18" s="159">
        <v>5.5917462411809803E-2</v>
      </c>
      <c r="Q18" s="157">
        <f>IF(Calculation_ITS!L18=0,O18*P18,0)</f>
        <v>0</v>
      </c>
      <c r="R18" s="149"/>
      <c r="S18" s="160">
        <f>Calculation_ITS!L18+Q18</f>
        <v>24609.458303999996</v>
      </c>
    </row>
    <row r="19" spans="1:19" ht="15.75" customHeight="1">
      <c r="A19" s="163" t="s">
        <v>48</v>
      </c>
      <c r="B19" s="164">
        <f>(Gross_wages!B16*B$11)/1000</f>
        <v>20967.500117699998</v>
      </c>
      <c r="C19" s="164">
        <f>(Gross_wages!C16*C$11)/1000</f>
        <v>0</v>
      </c>
      <c r="D19" s="165">
        <f>(Gross_wages!D16*D$11)/1000</f>
        <v>0</v>
      </c>
      <c r="E19" s="164">
        <f>(Gross_wages!E16*E$11)/1000</f>
        <v>15.389032258064514</v>
      </c>
      <c r="F19" s="164">
        <f>(Gross_wages!F16*F$11)/1000</f>
        <v>0</v>
      </c>
      <c r="G19" s="164">
        <f>(Gross_wages!G16*G$11)/1000</f>
        <v>0</v>
      </c>
      <c r="H19" s="166">
        <f>(Gross_wages!H16*H$11)/1000</f>
        <v>0</v>
      </c>
      <c r="I19" s="164">
        <f t="shared" si="0"/>
        <v>15.389032258064514</v>
      </c>
      <c r="J19" s="167">
        <f t="shared" si="1"/>
        <v>1</v>
      </c>
      <c r="K19" s="164">
        <f t="shared" si="2"/>
        <v>15.389032258064514</v>
      </c>
      <c r="L19" s="168">
        <f t="shared" si="3"/>
        <v>20982.88914995806</v>
      </c>
      <c r="M19" s="146"/>
      <c r="N19" s="163" t="s">
        <v>48</v>
      </c>
      <c r="O19" s="169">
        <v>1103064.3999999999</v>
      </c>
      <c r="P19" s="170">
        <v>2.6065670231493501E-2</v>
      </c>
      <c r="Q19" s="168">
        <f>IF(Calculation_ITS!L19=0,O19*P19,0)</f>
        <v>0</v>
      </c>
      <c r="R19" s="149"/>
      <c r="S19" s="171">
        <f>Calculation_ITS!L19+Q19</f>
        <v>20982.88914995806</v>
      </c>
    </row>
    <row r="20" spans="1:19" ht="15.75" customHeight="1">
      <c r="A20" s="152" t="s">
        <v>49</v>
      </c>
      <c r="B20" s="153">
        <f>(Gross_wages!B17*B$11)/1000</f>
        <v>20267.0452998</v>
      </c>
      <c r="C20" s="153">
        <f>(Gross_wages!C17*C$11)/1000</f>
        <v>0</v>
      </c>
      <c r="D20" s="154">
        <f>(Gross_wages!D17*D$11)/1000</f>
        <v>0</v>
      </c>
      <c r="E20" s="153">
        <f>(Gross_wages!E17*E$11)/1000</f>
        <v>0</v>
      </c>
      <c r="F20" s="153">
        <f>(Gross_wages!F17*F$11)/1000</f>
        <v>0</v>
      </c>
      <c r="G20" s="153">
        <f>(Gross_wages!G17*G$11)/1000</f>
        <v>0</v>
      </c>
      <c r="H20" s="155">
        <f>(Gross_wages!H17*H$11)/1000</f>
        <v>0</v>
      </c>
      <c r="I20" s="153">
        <f t="shared" si="0"/>
        <v>0</v>
      </c>
      <c r="J20" s="156">
        <f t="shared" si="1"/>
        <v>1</v>
      </c>
      <c r="K20" s="153">
        <f t="shared" si="2"/>
        <v>0</v>
      </c>
      <c r="L20" s="157">
        <f t="shared" si="3"/>
        <v>20267.0452998</v>
      </c>
      <c r="M20" s="146"/>
      <c r="N20" s="152" t="s">
        <v>49</v>
      </c>
      <c r="O20" s="158">
        <v>517516.1</v>
      </c>
      <c r="P20" s="159">
        <v>6.01164632474053E-2</v>
      </c>
      <c r="Q20" s="157">
        <f>IF(Calculation_ITS!L20=0,O20*P20,0)</f>
        <v>0</v>
      </c>
      <c r="R20" s="149"/>
      <c r="S20" s="160">
        <f>Calculation_ITS!L20+Q20</f>
        <v>20267.0452998</v>
      </c>
    </row>
    <row r="21" spans="1:19" ht="15.75" customHeight="1">
      <c r="A21" s="163" t="s">
        <v>50</v>
      </c>
      <c r="B21" s="164">
        <f>(Gross_wages!B18*B$11)/1000</f>
        <v>94490.640467999998</v>
      </c>
      <c r="C21" s="164">
        <f>(Gross_wages!C18*C$11)/1000</f>
        <v>0</v>
      </c>
      <c r="D21" s="165">
        <f>(Gross_wages!D18*D$11)/1000</f>
        <v>0</v>
      </c>
      <c r="E21" s="164">
        <f>(Gross_wages!E18*E$11)/1000</f>
        <v>339.85838709677415</v>
      </c>
      <c r="F21" s="164">
        <f>(Gross_wages!F18*F$11)/1000</f>
        <v>0</v>
      </c>
      <c r="G21" s="164">
        <f>(Gross_wages!G18*G$11)/1000</f>
        <v>0</v>
      </c>
      <c r="H21" s="166">
        <f>(Gross_wages!H18*H$11)/1000</f>
        <v>0</v>
      </c>
      <c r="I21" s="164">
        <f t="shared" si="0"/>
        <v>339.85838709677415</v>
      </c>
      <c r="J21" s="167">
        <f t="shared" si="1"/>
        <v>1</v>
      </c>
      <c r="K21" s="164">
        <f t="shared" si="2"/>
        <v>339.85838709677415</v>
      </c>
      <c r="L21" s="168">
        <f t="shared" si="3"/>
        <v>94830.498855096768</v>
      </c>
      <c r="M21" s="146"/>
      <c r="N21" s="163" t="s">
        <v>50</v>
      </c>
      <c r="O21" s="169">
        <v>3613311</v>
      </c>
      <c r="P21" s="170">
        <v>4.3191259459130799E-2</v>
      </c>
      <c r="Q21" s="168">
        <f>IF(Calculation_ITS!L21=0,O21*P21,0)</f>
        <v>0</v>
      </c>
      <c r="R21" s="149"/>
      <c r="S21" s="171">
        <f>Calculation_ITS!L21+Q21</f>
        <v>94830.498855096768</v>
      </c>
    </row>
    <row r="22" spans="1:19" ht="15.75" customHeight="1">
      <c r="A22" s="152" t="s">
        <v>51</v>
      </c>
      <c r="B22" s="153">
        <f>(Gross_wages!B19*B$11)/1000</f>
        <v>155040.429474</v>
      </c>
      <c r="C22" s="153">
        <f>(Gross_wages!C19*C$11)/1000</f>
        <v>0</v>
      </c>
      <c r="D22" s="154">
        <f>(Gross_wages!D19*D$11)/1000</f>
        <v>0</v>
      </c>
      <c r="E22" s="153">
        <f>(Gross_wages!E19*E$11)/1000</f>
        <v>0</v>
      </c>
      <c r="F22" s="153">
        <f>(Gross_wages!F19*F$11)/1000</f>
        <v>0</v>
      </c>
      <c r="G22" s="153">
        <f>(Gross_wages!G19*G$11)/1000</f>
        <v>0</v>
      </c>
      <c r="H22" s="155">
        <f>(Gross_wages!H19*H$11)/1000</f>
        <v>0</v>
      </c>
      <c r="I22" s="153">
        <f t="shared" si="0"/>
        <v>0</v>
      </c>
      <c r="J22" s="156">
        <f t="shared" si="1"/>
        <v>1</v>
      </c>
      <c r="K22" s="153">
        <f t="shared" si="2"/>
        <v>0</v>
      </c>
      <c r="L22" s="157">
        <f t="shared" si="3"/>
        <v>155040.429474</v>
      </c>
      <c r="M22" s="146"/>
      <c r="N22" s="152" t="s">
        <v>51</v>
      </c>
      <c r="O22" s="158">
        <v>3924395.6</v>
      </c>
      <c r="P22" s="159">
        <v>5.9108686919784201E-2</v>
      </c>
      <c r="Q22" s="157">
        <f>IF(Calculation_ITS!L22=0,O22*P22,0)</f>
        <v>0</v>
      </c>
      <c r="R22" s="149"/>
      <c r="S22" s="160">
        <f>Calculation_ITS!L22+Q22</f>
        <v>155040.429474</v>
      </c>
    </row>
    <row r="23" spans="1:19" ht="15.75" customHeight="1">
      <c r="A23" s="163" t="s">
        <v>52</v>
      </c>
      <c r="B23" s="164">
        <f>(Gross_wages!B20*B$11)/1000</f>
        <v>89291.817251999993</v>
      </c>
      <c r="C23" s="164">
        <f>(Gross_wages!C20*C$11)/1000</f>
        <v>1092.4354620000001</v>
      </c>
      <c r="D23" s="165">
        <f>(Gross_wages!D20*D$11)/1000</f>
        <v>0</v>
      </c>
      <c r="E23" s="164">
        <f>(Gross_wages!E20*E$11)/1000</f>
        <v>3144.7422580645152</v>
      </c>
      <c r="F23" s="164">
        <f>(Gross_wages!F20*F$11)/1000</f>
        <v>0</v>
      </c>
      <c r="G23" s="164">
        <f>(Gross_wages!G20*G$11)/1000</f>
        <v>11251.451612903224</v>
      </c>
      <c r="H23" s="166">
        <f>(Gross_wages!H20*H$11)/1000</f>
        <v>0</v>
      </c>
      <c r="I23" s="164">
        <f t="shared" si="0"/>
        <v>15488.629332967739</v>
      </c>
      <c r="J23" s="167">
        <f t="shared" si="1"/>
        <v>1</v>
      </c>
      <c r="K23" s="164">
        <f t="shared" si="2"/>
        <v>15488.629332967739</v>
      </c>
      <c r="L23" s="168">
        <f t="shared" si="3"/>
        <v>104780.44658496774</v>
      </c>
      <c r="M23" s="146"/>
      <c r="N23" s="163" t="s">
        <v>52</v>
      </c>
      <c r="O23" s="169">
        <v>4117187.1</v>
      </c>
      <c r="P23" s="170">
        <v>4.494251749323E-2</v>
      </c>
      <c r="Q23" s="168">
        <f>IF(Calculation_ITS!L23=0,O23*P23,0)</f>
        <v>0</v>
      </c>
      <c r="R23" s="149"/>
      <c r="S23" s="171">
        <f>Calculation_ITS!L23+Q23</f>
        <v>104780.44658496774</v>
      </c>
    </row>
    <row r="24" spans="1:19" ht="15.75" customHeight="1">
      <c r="A24" s="152" t="s">
        <v>53</v>
      </c>
      <c r="B24" s="153">
        <f>(Gross_wages!B21*B$11)/1000</f>
        <v>215081.0696052</v>
      </c>
      <c r="C24" s="153">
        <f>(Gross_wages!C21*C$11)/1000</f>
        <v>48684.924089999993</v>
      </c>
      <c r="D24" s="154">
        <f>(Gross_wages!D21*D$11)/1000</f>
        <v>0</v>
      </c>
      <c r="E24" s="153">
        <f>(Gross_wages!E21*E$11)/1000</f>
        <v>165805.00646774191</v>
      </c>
      <c r="F24" s="153">
        <f>(Gross_wages!F21*F$11)/1000</f>
        <v>0</v>
      </c>
      <c r="G24" s="153">
        <f>(Gross_wages!G21*G$11)/1000</f>
        <v>223751.23403225804</v>
      </c>
      <c r="H24" s="155">
        <f>(Gross_wages!H21*H$11)/1000</f>
        <v>0</v>
      </c>
      <c r="I24" s="153">
        <f t="shared" si="0"/>
        <v>438241.16458999994</v>
      </c>
      <c r="J24" s="156">
        <f t="shared" si="1"/>
        <v>1</v>
      </c>
      <c r="K24" s="153">
        <f t="shared" si="2"/>
        <v>438241.16458999994</v>
      </c>
      <c r="L24" s="157">
        <f t="shared" si="3"/>
        <v>653322.23419519991</v>
      </c>
      <c r="M24" s="146"/>
      <c r="N24" s="152" t="s">
        <v>53</v>
      </c>
      <c r="O24" s="158">
        <v>3974123.7</v>
      </c>
      <c r="P24" s="159">
        <v>0.18220943551926599</v>
      </c>
      <c r="Q24" s="157">
        <f>IF(Calculation_ITS!L24=0,O24*P24,0)</f>
        <v>0</v>
      </c>
      <c r="R24" s="149"/>
      <c r="S24" s="160">
        <f>Calculation_ITS!L24+Q24</f>
        <v>653322.23419519991</v>
      </c>
    </row>
    <row r="25" spans="1:19" ht="15.75" customHeight="1">
      <c r="A25" s="163" t="s">
        <v>54</v>
      </c>
      <c r="B25" s="164">
        <f>(Gross_wages!B22*B$11)/1000</f>
        <v>116208.37294199999</v>
      </c>
      <c r="C25" s="164">
        <f>(Gross_wages!C22*C$11)/1000</f>
        <v>16214.296751999998</v>
      </c>
      <c r="D25" s="165">
        <f>(Gross_wages!D22*D$11)/1000</f>
        <v>0</v>
      </c>
      <c r="E25" s="164">
        <f>(Gross_wages!E22*E$11)/1000</f>
        <v>62843.689999999988</v>
      </c>
      <c r="F25" s="164">
        <f>(Gross_wages!F22*F$11)/1000</f>
        <v>0</v>
      </c>
      <c r="G25" s="164">
        <f>(Gross_wages!G22*G$11)/1000</f>
        <v>131977.7622580645</v>
      </c>
      <c r="H25" s="166">
        <f>(Gross_wages!H22*H$11)/1000</f>
        <v>0</v>
      </c>
      <c r="I25" s="164">
        <f t="shared" si="0"/>
        <v>211035.74901006446</v>
      </c>
      <c r="J25" s="167">
        <f t="shared" si="1"/>
        <v>1</v>
      </c>
      <c r="K25" s="164">
        <f t="shared" si="2"/>
        <v>211035.74901006446</v>
      </c>
      <c r="L25" s="168">
        <f t="shared" si="3"/>
        <v>327244.12195206445</v>
      </c>
      <c r="M25" s="146"/>
      <c r="N25" s="163" t="s">
        <v>54</v>
      </c>
      <c r="O25" s="169">
        <v>6012279.5999999996</v>
      </c>
      <c r="P25" s="170">
        <v>7.4529288251455703E-2</v>
      </c>
      <c r="Q25" s="168">
        <f>IF(Calculation_ITS!L25=0,O25*P25,0)</f>
        <v>0</v>
      </c>
      <c r="R25" s="149"/>
      <c r="S25" s="171">
        <f>Calculation_ITS!L25+Q25</f>
        <v>327244.12195206445</v>
      </c>
    </row>
    <row r="26" spans="1:19" ht="15.75" customHeight="1">
      <c r="A26" s="152" t="s">
        <v>55</v>
      </c>
      <c r="B26" s="153">
        <f>(Gross_wages!B23*B$11)/1000</f>
        <v>64727.602813799989</v>
      </c>
      <c r="C26" s="153">
        <f>(Gross_wages!C23*C$11)/1000</f>
        <v>0</v>
      </c>
      <c r="D26" s="154">
        <f>(Gross_wages!D23*D$11)/1000</f>
        <v>7.139408602150537</v>
      </c>
      <c r="E26" s="153">
        <f>(Gross_wages!E23*E$11)/1000</f>
        <v>42600.270580645149</v>
      </c>
      <c r="F26" s="153">
        <f>(Gross_wages!F23*F$11)/1000</f>
        <v>0</v>
      </c>
      <c r="G26" s="153">
        <f>(Gross_wages!G23*G$11)/1000</f>
        <v>0</v>
      </c>
      <c r="H26" s="155">
        <f>(Gross_wages!H23*H$11)/1000</f>
        <v>0</v>
      </c>
      <c r="I26" s="153">
        <f t="shared" si="0"/>
        <v>42607.409989247302</v>
      </c>
      <c r="J26" s="156">
        <f t="shared" si="1"/>
        <v>1</v>
      </c>
      <c r="K26" s="153">
        <f t="shared" si="2"/>
        <v>42607.409989247302</v>
      </c>
      <c r="L26" s="157">
        <f t="shared" si="3"/>
        <v>107335.01280304728</v>
      </c>
      <c r="M26" s="146"/>
      <c r="N26" s="152" t="s">
        <v>55</v>
      </c>
      <c r="O26" s="158">
        <v>1179462.2</v>
      </c>
      <c r="P26" s="159">
        <v>9.0779953765156601E-2</v>
      </c>
      <c r="Q26" s="157">
        <f>IF(Calculation_ITS!L26=0,O26*P26,0)</f>
        <v>0</v>
      </c>
      <c r="R26" s="149"/>
      <c r="S26" s="160">
        <f>Calculation_ITS!L26+Q26</f>
        <v>107335.01280304728</v>
      </c>
    </row>
    <row r="27" spans="1:19" ht="15.75" customHeight="1">
      <c r="A27" s="163" t="s">
        <v>56</v>
      </c>
      <c r="B27" s="164">
        <f>(Gross_wages!B24*B$11)/1000</f>
        <v>23809.243127400001</v>
      </c>
      <c r="C27" s="164">
        <f>(Gross_wages!C24*C$11)/1000</f>
        <v>419.5744272</v>
      </c>
      <c r="D27" s="165">
        <f>(Gross_wages!D24*D$11)/1000</f>
        <v>1069.5516827956988</v>
      </c>
      <c r="E27" s="164">
        <f>(Gross_wages!E24*E$11)/1000</f>
        <v>231.89905645161286</v>
      </c>
      <c r="F27" s="164">
        <f>(Gross_wages!F24*F$11)/1000</f>
        <v>0</v>
      </c>
      <c r="G27" s="164">
        <f>(Gross_wages!G24*G$11)/1000</f>
        <v>0</v>
      </c>
      <c r="H27" s="166">
        <f>(Gross_wages!H24*H$11)/1000</f>
        <v>0</v>
      </c>
      <c r="I27" s="164">
        <f t="shared" si="0"/>
        <v>1721.0251664473117</v>
      </c>
      <c r="J27" s="167">
        <f t="shared" si="1"/>
        <v>1</v>
      </c>
      <c r="K27" s="164">
        <f t="shared" si="2"/>
        <v>1721.0251664473117</v>
      </c>
      <c r="L27" s="168">
        <f t="shared" si="3"/>
        <v>25530.268293847312</v>
      </c>
      <c r="M27" s="146"/>
      <c r="N27" s="163" t="s">
        <v>56</v>
      </c>
      <c r="O27" s="169">
        <v>842177.5</v>
      </c>
      <c r="P27" s="170">
        <v>4.5362455587187697E-2</v>
      </c>
      <c r="Q27" s="168">
        <f>IF(Calculation_ITS!L27=0,O27*P27,0)</f>
        <v>0</v>
      </c>
      <c r="R27" s="149"/>
      <c r="S27" s="171">
        <f>Calculation_ITS!L27+Q27</f>
        <v>25530.268293847312</v>
      </c>
    </row>
    <row r="28" spans="1:19" ht="15.75" customHeight="1">
      <c r="A28" s="152" t="s">
        <v>57</v>
      </c>
      <c r="B28" s="153">
        <f>(Gross_wages!B25*B$11)/1000</f>
        <v>6021.9622970999999</v>
      </c>
      <c r="C28" s="153">
        <f>(Gross_wages!C25*C$11)/1000</f>
        <v>0</v>
      </c>
      <c r="D28" s="154">
        <f>(Gross_wages!D25*D$11)/1000</f>
        <v>112.4721935483871</v>
      </c>
      <c r="E28" s="153">
        <f>(Gross_wages!E25*E$11)/1000</f>
        <v>91.729185483870936</v>
      </c>
      <c r="F28" s="153">
        <f>(Gross_wages!F25*F$11)/1000</f>
        <v>0</v>
      </c>
      <c r="G28" s="153">
        <f>(Gross_wages!G25*G$11)/1000</f>
        <v>0</v>
      </c>
      <c r="H28" s="155">
        <f>(Gross_wages!H25*H$11)/1000</f>
        <v>0</v>
      </c>
      <c r="I28" s="153">
        <f t="shared" si="0"/>
        <v>204.20137903225805</v>
      </c>
      <c r="J28" s="156">
        <f t="shared" si="1"/>
        <v>1</v>
      </c>
      <c r="K28" s="153">
        <f t="shared" si="2"/>
        <v>204.20137903225805</v>
      </c>
      <c r="L28" s="157">
        <f t="shared" si="3"/>
        <v>6226.1636761322579</v>
      </c>
      <c r="M28" s="146"/>
      <c r="N28" s="152" t="s">
        <v>57</v>
      </c>
      <c r="O28" s="158">
        <v>252375.7</v>
      </c>
      <c r="P28" s="159">
        <v>4.15335824142141E-2</v>
      </c>
      <c r="Q28" s="157">
        <f>IF(Calculation_ITS!L28=0,O28*P28,0)</f>
        <v>0</v>
      </c>
      <c r="R28" s="149"/>
      <c r="S28" s="160">
        <f>Calculation_ITS!L28+Q28</f>
        <v>6226.1636761322579</v>
      </c>
    </row>
    <row r="29" spans="1:19" ht="15.75" customHeight="1">
      <c r="A29" s="163" t="s">
        <v>58</v>
      </c>
      <c r="B29" s="164">
        <f>(Gross_wages!B26*B$11)/1000</f>
        <v>228900.74436180003</v>
      </c>
      <c r="C29" s="164">
        <f>(Gross_wages!C26*C$11)/1000</f>
        <v>14333.364983699998</v>
      </c>
      <c r="D29" s="165">
        <f>(Gross_wages!D26*D$11)/1000</f>
        <v>40268.324193548382</v>
      </c>
      <c r="E29" s="164">
        <f>(Gross_wages!E26*E$11)/1000</f>
        <v>6774.714193548386</v>
      </c>
      <c r="F29" s="164">
        <f>(Gross_wages!F26*F$11)/1000</f>
        <v>0</v>
      </c>
      <c r="G29" s="164">
        <f>(Gross_wages!G26*G$11)/1000</f>
        <v>0</v>
      </c>
      <c r="H29" s="166">
        <f>(Gross_wages!H26*H$11)/1000</f>
        <v>0</v>
      </c>
      <c r="I29" s="164">
        <f t="shared" si="0"/>
        <v>61376.403370796768</v>
      </c>
      <c r="J29" s="167">
        <f t="shared" si="1"/>
        <v>1</v>
      </c>
      <c r="K29" s="164">
        <f t="shared" si="2"/>
        <v>61376.403370796768</v>
      </c>
      <c r="L29" s="168">
        <f t="shared" si="3"/>
        <v>290277.14773259679</v>
      </c>
      <c r="M29" s="146"/>
      <c r="N29" s="163" t="s">
        <v>58</v>
      </c>
      <c r="O29" s="169">
        <v>7054306.4000000004</v>
      </c>
      <c r="P29" s="170">
        <v>6.1725816326157298E-2</v>
      </c>
      <c r="Q29" s="168">
        <f>IF(Calculation_ITS!L29=0,O29*P29,0)</f>
        <v>0</v>
      </c>
      <c r="R29" s="149"/>
      <c r="S29" s="171">
        <f>Calculation_ITS!L29+Q29</f>
        <v>290277.14773259679</v>
      </c>
    </row>
    <row r="30" spans="1:19" ht="15.75" customHeight="1">
      <c r="A30" s="152" t="s">
        <v>59</v>
      </c>
      <c r="B30" s="153">
        <f>(Gross_wages!B27*B$11)/1000</f>
        <v>223041.93695999999</v>
      </c>
      <c r="C30" s="153">
        <f>(Gross_wages!C27*C$11)/1000</f>
        <v>27129.331404</v>
      </c>
      <c r="D30" s="154">
        <f>(Gross_wages!D27*D$11)/1000</f>
        <v>1844.9796774193546</v>
      </c>
      <c r="E30" s="153">
        <f>(Gross_wages!E27*E$11)/1000</f>
        <v>29.374516129032255</v>
      </c>
      <c r="F30" s="153">
        <f>(Gross_wages!F27*F$11)/1000</f>
        <v>0</v>
      </c>
      <c r="G30" s="153">
        <f>(Gross_wages!G27*G$11)/1000</f>
        <v>0</v>
      </c>
      <c r="H30" s="155">
        <f>(Gross_wages!H27*H$11)/1000</f>
        <v>18754.448896800001</v>
      </c>
      <c r="I30" s="153">
        <f t="shared" si="0"/>
        <v>47758.134494348385</v>
      </c>
      <c r="J30" s="156">
        <f t="shared" si="1"/>
        <v>1</v>
      </c>
      <c r="K30" s="153">
        <f t="shared" si="2"/>
        <v>47758.134494348385</v>
      </c>
      <c r="L30" s="157">
        <f t="shared" si="3"/>
        <v>270800.07145434839</v>
      </c>
      <c r="M30" s="146"/>
      <c r="N30" s="152" t="s">
        <v>59</v>
      </c>
      <c r="O30" s="158">
        <v>2986506.7</v>
      </c>
      <c r="P30" s="159">
        <v>9.8889954663803806E-2</v>
      </c>
      <c r="Q30" s="157">
        <f>IF(Calculation_ITS!L30=0,O30*P30,0)</f>
        <v>0</v>
      </c>
      <c r="R30" s="149"/>
      <c r="S30" s="160">
        <f>Calculation_ITS!L30+Q30</f>
        <v>270800.07145434839</v>
      </c>
    </row>
    <row r="31" spans="1:19" ht="15.75" customHeight="1">
      <c r="A31" s="163" t="s">
        <v>60</v>
      </c>
      <c r="B31" s="164">
        <f>(Gross_wages!B28*B$11)/1000</f>
        <v>0</v>
      </c>
      <c r="C31" s="164">
        <f>(Gross_wages!C28*C$11)/1000</f>
        <v>0</v>
      </c>
      <c r="D31" s="165">
        <f>(Gross_wages!D28*D$11)/1000</f>
        <v>0</v>
      </c>
      <c r="E31" s="164">
        <f>(Gross_wages!E28*E$11)/1000</f>
        <v>0</v>
      </c>
      <c r="F31" s="164">
        <f>(Gross_wages!F28*F$11)/1000</f>
        <v>0</v>
      </c>
      <c r="G31" s="164">
        <f>(Gross_wages!G28*G$11)/1000</f>
        <v>0</v>
      </c>
      <c r="H31" s="166">
        <f>(Gross_wages!H28*H$11)/1000</f>
        <v>0</v>
      </c>
      <c r="I31" s="164">
        <f t="shared" si="0"/>
        <v>0</v>
      </c>
      <c r="J31" s="167">
        <f t="shared" si="1"/>
        <v>1</v>
      </c>
      <c r="K31" s="164">
        <f t="shared" si="2"/>
        <v>0</v>
      </c>
      <c r="L31" s="168">
        <f t="shared" si="3"/>
        <v>0</v>
      </c>
      <c r="M31" s="146"/>
      <c r="N31" s="163" t="s">
        <v>60</v>
      </c>
      <c r="O31" s="169">
        <v>10528478.6</v>
      </c>
      <c r="P31" s="170">
        <v>6.4672483042469905E-2</v>
      </c>
      <c r="Q31" s="168">
        <f>IF(Calculation_ITS!L31=0,O31*P31,0)</f>
        <v>680902.85372150724</v>
      </c>
      <c r="R31" s="149"/>
      <c r="S31" s="171">
        <f>Calculation_ITS!L31+Q31</f>
        <v>680902.85372150724</v>
      </c>
    </row>
    <row r="32" spans="1:19" ht="15.75" customHeight="1">
      <c r="A32" s="152" t="s">
        <v>61</v>
      </c>
      <c r="B32" s="153">
        <f>(Gross_wages!B29*B$11)/1000</f>
        <v>118972.11035322001</v>
      </c>
      <c r="C32" s="153">
        <f>(Gross_wages!C29*C$11)/1000</f>
        <v>2786.7897674999999</v>
      </c>
      <c r="D32" s="154">
        <f>(Gross_wages!D29*D$11)/1000</f>
        <v>1630.945775268817</v>
      </c>
      <c r="E32" s="153">
        <f>(Gross_wages!E29*E$11)/1000</f>
        <v>28469.314525806447</v>
      </c>
      <c r="F32" s="153">
        <f>(Gross_wages!F29*F$11)/1000</f>
        <v>0</v>
      </c>
      <c r="G32" s="153">
        <f>(Gross_wages!G29*G$11)/1000</f>
        <v>0</v>
      </c>
      <c r="H32" s="155">
        <f>(Gross_wages!H29*H$11)/1000</f>
        <v>0</v>
      </c>
      <c r="I32" s="153">
        <f t="shared" si="0"/>
        <v>32887.050068575263</v>
      </c>
      <c r="J32" s="156">
        <f t="shared" si="1"/>
        <v>1</v>
      </c>
      <c r="K32" s="153">
        <f t="shared" si="2"/>
        <v>32887.050068575263</v>
      </c>
      <c r="L32" s="157">
        <f t="shared" si="3"/>
        <v>151859.16042179527</v>
      </c>
      <c r="M32" s="146"/>
      <c r="N32" s="152" t="s">
        <v>61</v>
      </c>
      <c r="O32" s="158">
        <v>3607612.4</v>
      </c>
      <c r="P32" s="159">
        <v>6.1623692916886699E-2</v>
      </c>
      <c r="Q32" s="157">
        <f>IF(Calculation_ITS!L32=0,O32*P32,0)</f>
        <v>0</v>
      </c>
      <c r="R32" s="149"/>
      <c r="S32" s="160">
        <f>Calculation_ITS!L32+Q32</f>
        <v>151859.16042179527</v>
      </c>
    </row>
    <row r="33" spans="1:19" ht="15.75" customHeight="1">
      <c r="A33" s="163" t="s">
        <v>62</v>
      </c>
      <c r="B33" s="164">
        <f>(Gross_wages!B30*B$11)/1000</f>
        <v>317372.07087</v>
      </c>
      <c r="C33" s="164">
        <f>(Gross_wages!C30*C$11)/1000</f>
        <v>23754.363246000001</v>
      </c>
      <c r="D33" s="165">
        <f>(Gross_wages!D30*D$11)/1000</f>
        <v>0</v>
      </c>
      <c r="E33" s="164">
        <f>(Gross_wages!E30*E$11)/1000</f>
        <v>0</v>
      </c>
      <c r="F33" s="164">
        <f>(Gross_wages!F30*F$11)/1000</f>
        <v>0</v>
      </c>
      <c r="G33" s="164">
        <f>(Gross_wages!G30*G$11)/1000</f>
        <v>0</v>
      </c>
      <c r="H33" s="166">
        <f>(Gross_wages!H30*H$11)/1000</f>
        <v>460834.65309959993</v>
      </c>
      <c r="I33" s="164">
        <f t="shared" si="0"/>
        <v>484589.01634559996</v>
      </c>
      <c r="J33" s="167">
        <f t="shared" si="1"/>
        <v>1</v>
      </c>
      <c r="K33" s="164">
        <f t="shared" si="2"/>
        <v>484589.01634559996</v>
      </c>
      <c r="L33" s="168">
        <f t="shared" si="3"/>
        <v>801961.08721559995</v>
      </c>
      <c r="M33" s="146"/>
      <c r="N33" s="163" t="s">
        <v>62</v>
      </c>
      <c r="O33" s="169">
        <v>5410884.4000000004</v>
      </c>
      <c r="P33" s="170">
        <v>0.16715446867939401</v>
      </c>
      <c r="Q33" s="168">
        <f>IF(Calculation_ITS!L33=0,O33*P33,0)</f>
        <v>0</v>
      </c>
      <c r="R33" s="149"/>
      <c r="S33" s="171">
        <f>Calculation_ITS!L33+Q33</f>
        <v>801961.08721559995</v>
      </c>
    </row>
    <row r="34" spans="1:19" ht="15.75" customHeight="1">
      <c r="A34" s="152" t="s">
        <v>63</v>
      </c>
      <c r="B34" s="153">
        <f>(Gross_wages!B31*B$11)/1000</f>
        <v>559442.81133900001</v>
      </c>
      <c r="C34" s="153">
        <f>(Gross_wages!C31*C$11)/1000</f>
        <v>0</v>
      </c>
      <c r="D34" s="154">
        <f>(Gross_wages!D31*D$11)/1000</f>
        <v>0</v>
      </c>
      <c r="E34" s="153">
        <f>(Gross_wages!E31*E$11)/1000</f>
        <v>0</v>
      </c>
      <c r="F34" s="153">
        <f>(Gross_wages!F31*F$11)/1000</f>
        <v>0</v>
      </c>
      <c r="G34" s="153">
        <f>(Gross_wages!G31*G$11)/1000</f>
        <v>172167.09258064511</v>
      </c>
      <c r="H34" s="155">
        <f>(Gross_wages!H31*H$11)/1000</f>
        <v>0</v>
      </c>
      <c r="I34" s="153">
        <f t="shared" si="0"/>
        <v>172167.09258064511</v>
      </c>
      <c r="J34" s="156">
        <f t="shared" si="1"/>
        <v>1</v>
      </c>
      <c r="K34" s="153">
        <f t="shared" si="2"/>
        <v>172167.09258064511</v>
      </c>
      <c r="L34" s="157">
        <f t="shared" si="3"/>
        <v>731609.90391964512</v>
      </c>
      <c r="M34" s="146"/>
      <c r="N34" s="152" t="s">
        <v>63</v>
      </c>
      <c r="O34" s="158">
        <v>13266280.800000001</v>
      </c>
      <c r="P34" s="159">
        <v>8.3454357089302697E-2</v>
      </c>
      <c r="Q34" s="157">
        <f>IF(Calculation_ITS!L34=0,O34*P34,0)</f>
        <v>0</v>
      </c>
      <c r="R34" s="149"/>
      <c r="S34" s="160">
        <f>Calculation_ITS!L34+Q34</f>
        <v>731609.90391964512</v>
      </c>
    </row>
    <row r="35" spans="1:19" ht="15.75" customHeight="1">
      <c r="A35" s="163" t="s">
        <v>64</v>
      </c>
      <c r="B35" s="164">
        <f>(Gross_wages!B32*B$11)/1000</f>
        <v>266682.62460599997</v>
      </c>
      <c r="C35" s="164">
        <f>(Gross_wages!C32*C$11)/1000</f>
        <v>422.79915599999998</v>
      </c>
      <c r="D35" s="165">
        <f>(Gross_wages!D32*D$11)/1000</f>
        <v>0</v>
      </c>
      <c r="E35" s="164">
        <f>(Gross_wages!E32*E$11)/1000</f>
        <v>0</v>
      </c>
      <c r="F35" s="164">
        <f>(Gross_wages!F32*F$11)/1000</f>
        <v>0</v>
      </c>
      <c r="G35" s="164">
        <f>(Gross_wages!G32*G$11)/1000</f>
        <v>7448.1603225806439</v>
      </c>
      <c r="H35" s="166">
        <f>(Gross_wages!H32*H$11)/1000</f>
        <v>10350.6417</v>
      </c>
      <c r="I35" s="164">
        <f t="shared" si="0"/>
        <v>18221.601178580644</v>
      </c>
      <c r="J35" s="167">
        <f t="shared" si="1"/>
        <v>1</v>
      </c>
      <c r="K35" s="164">
        <f t="shared" si="2"/>
        <v>18221.601178580644</v>
      </c>
      <c r="L35" s="168">
        <f t="shared" si="3"/>
        <v>284904.22578458063</v>
      </c>
      <c r="M35" s="146"/>
      <c r="N35" s="163" t="s">
        <v>64</v>
      </c>
      <c r="O35" s="169">
        <v>4275523.5</v>
      </c>
      <c r="P35" s="170">
        <v>7.9181593006913201E-2</v>
      </c>
      <c r="Q35" s="168">
        <f>IF(Calculation_ITS!L35=0,O35*P35,0)</f>
        <v>0</v>
      </c>
      <c r="R35" s="149"/>
      <c r="S35" s="171">
        <f>Calculation_ITS!L35+Q35</f>
        <v>284904.22578458063</v>
      </c>
    </row>
    <row r="36" spans="1:19" ht="15.75" customHeight="1">
      <c r="A36" s="152" t="s">
        <v>65</v>
      </c>
      <c r="B36" s="153">
        <f>(Gross_wages!B33*B$11)/1000</f>
        <v>123047.013312</v>
      </c>
      <c r="C36" s="153">
        <f>(Gross_wages!C33*C$11)/1000</f>
        <v>1602.5799239999999</v>
      </c>
      <c r="D36" s="154">
        <f>(Gross_wages!D33*D$11)/1000</f>
        <v>0</v>
      </c>
      <c r="E36" s="153">
        <f>(Gross_wages!E33*E$11)/1000</f>
        <v>0</v>
      </c>
      <c r="F36" s="153">
        <f>(Gross_wages!F33*F$11)/1000</f>
        <v>0</v>
      </c>
      <c r="G36" s="153">
        <f>(Gross_wages!G33*G$11)/1000</f>
        <v>71580.413548387078</v>
      </c>
      <c r="H36" s="155">
        <f>(Gross_wages!H33*H$11)/1000</f>
        <v>0</v>
      </c>
      <c r="I36" s="153">
        <f t="shared" si="0"/>
        <v>73182.993472387083</v>
      </c>
      <c r="J36" s="156">
        <f t="shared" si="1"/>
        <v>1</v>
      </c>
      <c r="K36" s="153">
        <f t="shared" si="2"/>
        <v>73182.993472387083</v>
      </c>
      <c r="L36" s="157">
        <f t="shared" si="3"/>
        <v>196230.00678438708</v>
      </c>
      <c r="M36" s="146"/>
      <c r="N36" s="152" t="s">
        <v>65</v>
      </c>
      <c r="O36" s="158">
        <v>2724049.2</v>
      </c>
      <c r="P36" s="159">
        <v>7.9491159228696401E-2</v>
      </c>
      <c r="Q36" s="157">
        <f>IF(Calculation_ITS!L36=0,O36*P36,0)</f>
        <v>0</v>
      </c>
      <c r="R36" s="149"/>
      <c r="S36" s="160">
        <f>Calculation_ITS!L36+Q36</f>
        <v>196230.00678438708</v>
      </c>
    </row>
    <row r="37" spans="1:19" ht="15.75" customHeight="1">
      <c r="A37" s="163" t="s">
        <v>66</v>
      </c>
      <c r="B37" s="164">
        <f>(Gross_wages!B34*B$11)/1000</f>
        <v>557684.15264910005</v>
      </c>
      <c r="C37" s="164">
        <f>(Gross_wages!C34*C$11)/1000</f>
        <v>0</v>
      </c>
      <c r="D37" s="165">
        <f>(Gross_wages!D34*D$11)/1000</f>
        <v>0</v>
      </c>
      <c r="E37" s="164">
        <f>(Gross_wages!E34*E$11)/1000</f>
        <v>0</v>
      </c>
      <c r="F37" s="164">
        <f>(Gross_wages!F34*F$11)/1000</f>
        <v>1316824.6880564904</v>
      </c>
      <c r="G37" s="164">
        <f>(Gross_wages!G34*G$11)/1000</f>
        <v>0</v>
      </c>
      <c r="H37" s="166">
        <f>(Gross_wages!H34*H$11)/1000</f>
        <v>0</v>
      </c>
      <c r="I37" s="164">
        <f t="shared" si="0"/>
        <v>1316824.6880564904</v>
      </c>
      <c r="J37" s="167">
        <f t="shared" si="1"/>
        <v>1</v>
      </c>
      <c r="K37" s="164">
        <f t="shared" si="2"/>
        <v>1316824.6880564904</v>
      </c>
      <c r="L37" s="168">
        <f t="shared" si="3"/>
        <v>1874508.8407055903</v>
      </c>
      <c r="M37" s="146"/>
      <c r="N37" s="163" t="s">
        <v>66</v>
      </c>
      <c r="O37" s="169">
        <v>10481301.800000001</v>
      </c>
      <c r="P37" s="170">
        <v>0.19527392739840599</v>
      </c>
      <c r="Q37" s="168">
        <f>IF(Calculation_ITS!L37=0,O37*P37,0)</f>
        <v>0</v>
      </c>
      <c r="R37" s="149"/>
      <c r="S37" s="171">
        <f>Calculation_ITS!L37+Q37</f>
        <v>1874508.8407055903</v>
      </c>
    </row>
    <row r="38" spans="1:19" ht="15.75" customHeight="1">
      <c r="A38" s="196" t="s">
        <v>104</v>
      </c>
      <c r="B38" s="195">
        <f>(Gross_wages!B35*B$11)/1000</f>
        <v>21486.516121859666</v>
      </c>
      <c r="C38" s="173">
        <f>(Gross_wages!C35*C$11)/1000</f>
        <v>1266.5581280999997</v>
      </c>
      <c r="D38" s="174">
        <f>(Gross_wages!D35*D$11)/1000</f>
        <v>0</v>
      </c>
      <c r="E38" s="173">
        <f>(Gross_wages!E35*E$11)/1000</f>
        <v>119.50609677419354</v>
      </c>
      <c r="F38" s="173">
        <f>(Gross_wages!F35*F$11)/1000</f>
        <v>0</v>
      </c>
      <c r="G38" s="173">
        <f>(Gross_wages!G35*G$11)/1000</f>
        <v>44063.738387096761</v>
      </c>
      <c r="H38" s="175">
        <f>(Gross_wages!H35*H$11)/1000</f>
        <v>0</v>
      </c>
      <c r="I38" s="173">
        <f t="shared" si="0"/>
        <v>45449.802611970954</v>
      </c>
      <c r="J38" s="176">
        <f t="shared" si="1"/>
        <v>1</v>
      </c>
      <c r="K38" s="173">
        <f t="shared" si="2"/>
        <v>45449.802611970954</v>
      </c>
      <c r="L38" s="194">
        <f t="shared" si="3"/>
        <v>66936.318733830616</v>
      </c>
      <c r="M38" s="146"/>
      <c r="N38" s="172" t="s">
        <v>67</v>
      </c>
      <c r="O38" s="178">
        <v>879038.8</v>
      </c>
      <c r="P38" s="179">
        <v>8.8091949457468302E-2</v>
      </c>
      <c r="Q38" s="177">
        <f>IF(Calculation_ITS!L38=0,O38*P38,0)</f>
        <v>0</v>
      </c>
      <c r="R38" s="149"/>
      <c r="S38" s="193">
        <f>Calculation_ITS!L38+Q38</f>
        <v>66936.318733830616</v>
      </c>
    </row>
    <row r="39" spans="1:19" ht="15.75" customHeight="1">
      <c r="A39" s="180" t="s">
        <v>68</v>
      </c>
      <c r="B39" s="181">
        <f t="shared" ref="B39:I39" si="4">SUM(B13:B38)</f>
        <v>5173179.7227199795</v>
      </c>
      <c r="C39" s="181">
        <f t="shared" si="4"/>
        <v>154104.90115049997</v>
      </c>
      <c r="D39" s="182">
        <f t="shared" si="4"/>
        <v>44933.412931182786</v>
      </c>
      <c r="E39" s="181">
        <f t="shared" si="4"/>
        <v>362896.81591290317</v>
      </c>
      <c r="F39" s="181">
        <f t="shared" si="4"/>
        <v>1316824.6880564904</v>
      </c>
      <c r="G39" s="181">
        <f t="shared" si="4"/>
        <v>672107.60548387084</v>
      </c>
      <c r="H39" s="183">
        <f t="shared" si="4"/>
        <v>489939.74369639991</v>
      </c>
      <c r="I39" s="181">
        <f t="shared" si="4"/>
        <v>3040807.1672313469</v>
      </c>
      <c r="J39" s="184">
        <v>1</v>
      </c>
      <c r="K39" s="181">
        <f t="shared" si="2"/>
        <v>3040807.1672313469</v>
      </c>
      <c r="L39" s="185">
        <f t="shared" si="3"/>
        <v>8213986.889951326</v>
      </c>
      <c r="M39" s="146"/>
      <c r="N39" s="180" t="s">
        <v>68</v>
      </c>
      <c r="O39" s="186">
        <f>SUM(O13:O38)</f>
        <v>142078662.50000003</v>
      </c>
      <c r="P39" s="187"/>
      <c r="Q39" s="185">
        <f>SUM(Q13:Q38)</f>
        <v>680902.85372150724</v>
      </c>
      <c r="R39" s="149"/>
      <c r="S39" s="188">
        <f>SUM(S13:S38)</f>
        <v>8894889.7436728328</v>
      </c>
    </row>
    <row r="40" spans="1:19">
      <c r="A40" s="197" t="s">
        <v>105</v>
      </c>
    </row>
  </sheetData>
  <mergeCells count="15">
    <mergeCell ref="D9:H9"/>
    <mergeCell ref="C9:C10"/>
    <mergeCell ref="B9:B10"/>
    <mergeCell ref="A4:L4"/>
    <mergeCell ref="I9:I10"/>
    <mergeCell ref="L9:L10"/>
    <mergeCell ref="K9:K10"/>
    <mergeCell ref="J9:J10"/>
    <mergeCell ref="Q8:Q10"/>
    <mergeCell ref="N4:Q4"/>
    <mergeCell ref="S8:S10"/>
    <mergeCell ref="U11:V11"/>
    <mergeCell ref="U10:V10"/>
    <mergeCell ref="P8:P10"/>
    <mergeCell ref="O8:O10"/>
  </mergeCells>
  <conditionalFormatting sqref="V13 O13:P38 J39">
    <cfRule type="expression" dxfId="7" priority="1" stopIfTrue="1">
      <formula>ISBLANK(J13)</formula>
    </cfRule>
  </conditionalFormatting>
  <conditionalFormatting sqref="B11:H11">
    <cfRule type="cellIs" dxfId="6" priority="2" stopIfTrue="1" operator="equal">
      <formula>"Eingabe Formel gemäss obiger Zeile"</formula>
    </cfRule>
    <cfRule type="expression" dxfId="5" priority="3" stopIfTrue="1">
      <formula>ISBLANK(B11)</formula>
    </cfRule>
  </conditionalFormatting>
  <conditionalFormatting sqref="B11:H11">
    <cfRule type="cellIs" dxfId="4" priority="4" stopIfTrue="1" operator="equal">
      <formula>"Eingabe Formel gemäss obiger Zeile"</formula>
    </cfRule>
    <cfRule type="expression" dxfId="3" priority="5" stopIfTrue="1">
      <formula>ISBLANK(B11)</formula>
    </cfRule>
  </conditionalFormatting>
  <conditionalFormatting sqref="V13">
    <cfRule type="expression" dxfId="2" priority="6" stopIfTrue="1">
      <formula>ISBLANK(V13)</formula>
    </cfRule>
  </conditionalFormatting>
  <conditionalFormatting sqref="B11:H11">
    <cfRule type="cellIs" dxfId="1" priority="7" stopIfTrue="1" operator="equal">
      <formula>"Eingabe Formel gemäss obiger Zeile"</formula>
    </cfRule>
    <cfRule type="expression" dxfId="0" priority="8" stopIfTrue="1">
      <formula>ISBLANK(B11)</formula>
    </cfRule>
  </conditionalFormatting>
  <printOptions vertic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Gross_wages</vt:lpstr>
      <vt:lpstr>Gamma</vt:lpstr>
      <vt:lpstr>Calculation_ITS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2012-01-04T09:25:45Z</cp:lastPrinted>
  <dcterms:created xsi:type="dcterms:W3CDTF">2006-06-26T16:01:42Z</dcterms:created>
  <dcterms:modified xsi:type="dcterms:W3CDTF">2012-05-15T09:12:53Z</dcterms:modified>
</cp:coreProperties>
</file>