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G11"/>
  <c r="G37" s="1"/>
  <c r="E11"/>
  <c r="E37" s="1"/>
  <c r="D11"/>
  <c r="D38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A2" i="2"/>
  <c r="A2" i="3" s="1"/>
  <c r="D13" i="4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D39"/>
  <c r="E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G39"/>
  <c r="H39" l="1"/>
  <c r="B39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 s="1"/>
  <c r="Q27"/>
  <c r="S27" s="1"/>
  <c r="Q19"/>
  <c r="S19" s="1"/>
  <c r="Q38"/>
  <c r="S38" s="1"/>
  <c r="S30"/>
  <c r="Q30"/>
  <c r="S22"/>
  <c r="Q22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<sst xmlns="http://schemas.openxmlformats.org/spreadsheetml/2006/main" count="212" uniqueCount="103">
  <si>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</si>
  <si>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</si>
  <si>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</si>
  <si>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</si>
  <si>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</si>
  <si>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</si>
  <si>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</si>
  <si>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FA_2008_20120424</t>
  </si>
  <si>
    <t>SWS</t>
  </si>
  <si>
    <t>RA_2008_20120424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</si>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</sst>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7" fontId="14" fillId="0" borderId="19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4" t="s">
        <v>0</v>
      </c>
      <c r="B1" s="194"/>
      <c r="C1" s="194"/>
      <c r="D1" s="194"/>
      <c r="E1" s="194"/>
    </row>
    <row r="2" spans="1:5" ht="24.75" customHeight="1">
      <c r="A2" s="193"/>
      <c r="B2" s="193"/>
      <c r="C2" s="193"/>
      <c r="D2" s="193"/>
      <c r="E2" s="193"/>
    </row>
    <row r="4" spans="1:5" ht="18" customHeight="1">
      <c r="A4" s="192" t="str">
        <f>"Assessment year "&amp;C31</f>
        <v>Assessment year 2003</v>
      </c>
      <c r="B4" s="192"/>
      <c r="C4" s="192"/>
      <c r="D4" s="192"/>
      <c r="E4" s="192"/>
    </row>
    <row r="5" spans="1:5" ht="18" customHeight="1">
      <c r="A5" s="192" t="str">
        <f>"Reference year "&amp;C30</f>
        <v>Reference year 2008</v>
      </c>
      <c r="B5" s="192"/>
      <c r="C5" s="192"/>
      <c r="D5" s="192"/>
      <c r="E5" s="192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2008</v>
      </c>
    </row>
    <row r="31" spans="2:3">
      <c r="B31" s="7" t="s">
        <v>11</v>
      </c>
      <c r="C31" s="8">
        <v>2003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zoomScaleNormal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2003</v>
      </c>
      <c r="B1" s="10"/>
      <c r="C1" s="10"/>
      <c r="I1" s="11"/>
    </row>
    <row r="2" spans="1:9" ht="31.5" customHeight="1">
      <c r="A2" s="12" t="str">
        <f>Info!A5</f>
        <v>Reference year 2008</v>
      </c>
      <c r="B2" s="13"/>
      <c r="C2" s="13"/>
      <c r="D2" s="14"/>
      <c r="I2" s="15" t="str">
        <f>Info!C28</f>
        <v>FA_2008_20120424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2489140703</v>
      </c>
      <c r="C10" s="48">
        <v>15008789</v>
      </c>
      <c r="D10" s="49">
        <v>0</v>
      </c>
      <c r="E10" s="48">
        <v>298661106</v>
      </c>
      <c r="F10" s="48">
        <v>0</v>
      </c>
      <c r="G10" s="48">
        <v>0</v>
      </c>
      <c r="H10" s="50">
        <v>0</v>
      </c>
      <c r="I10" s="51">
        <f t="shared" ref="I10:I36" si="0">SUM(B10:H10)</f>
        <v>2802810598</v>
      </c>
    </row>
    <row r="11" spans="1:9">
      <c r="A11" s="52" t="s">
        <v>43</v>
      </c>
      <c r="B11" s="53">
        <v>967952828</v>
      </c>
      <c r="C11" s="53">
        <v>0</v>
      </c>
      <c r="D11" s="54">
        <v>0</v>
      </c>
      <c r="E11" s="53">
        <v>1009440</v>
      </c>
      <c r="F11" s="53">
        <v>0</v>
      </c>
      <c r="G11" s="53">
        <v>51376830</v>
      </c>
      <c r="H11" s="55">
        <v>0</v>
      </c>
      <c r="I11" s="56">
        <f t="shared" si="0"/>
        <v>1020339098</v>
      </c>
    </row>
    <row r="12" spans="1:9">
      <c r="A12" s="57" t="s">
        <v>44</v>
      </c>
      <c r="B12" s="58">
        <v>416593334</v>
      </c>
      <c r="C12" s="58">
        <v>0</v>
      </c>
      <c r="D12" s="59">
        <v>0</v>
      </c>
      <c r="E12" s="58">
        <v>1432666</v>
      </c>
      <c r="F12" s="58">
        <v>0</v>
      </c>
      <c r="G12" s="58">
        <v>0</v>
      </c>
      <c r="H12" s="60">
        <v>0</v>
      </c>
      <c r="I12" s="61">
        <f t="shared" si="0"/>
        <v>418026000</v>
      </c>
    </row>
    <row r="13" spans="1:9">
      <c r="A13" s="52" t="s">
        <v>45</v>
      </c>
      <c r="B13" s="53">
        <v>39986102</v>
      </c>
      <c r="C13" s="53">
        <v>0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39986102</v>
      </c>
    </row>
    <row r="14" spans="1:9">
      <c r="A14" s="57" t="s">
        <v>46</v>
      </c>
      <c r="B14" s="58">
        <v>138674436.75999999</v>
      </c>
      <c r="C14" s="58">
        <v>10656100</v>
      </c>
      <c r="D14" s="59">
        <v>0</v>
      </c>
      <c r="E14" s="58">
        <v>851247.6</v>
      </c>
      <c r="F14" s="58">
        <v>0</v>
      </c>
      <c r="G14" s="58">
        <v>0</v>
      </c>
      <c r="H14" s="60">
        <v>0</v>
      </c>
      <c r="I14" s="61">
        <f t="shared" si="0"/>
        <v>150181784.35999998</v>
      </c>
    </row>
    <row r="15" spans="1:9">
      <c r="A15" s="52" t="s">
        <v>47</v>
      </c>
      <c r="B15" s="53">
        <v>55062017.770000003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55062017.770000003</v>
      </c>
    </row>
    <row r="16" spans="1:9">
      <c r="A16" s="57" t="s">
        <v>48</v>
      </c>
      <c r="B16" s="58">
        <v>47447717</v>
      </c>
      <c r="C16" s="58">
        <v>0</v>
      </c>
      <c r="D16" s="59">
        <v>0</v>
      </c>
      <c r="E16" s="58">
        <v>0</v>
      </c>
      <c r="F16" s="58">
        <v>0</v>
      </c>
      <c r="G16" s="58">
        <v>0</v>
      </c>
      <c r="H16" s="60">
        <v>0</v>
      </c>
      <c r="I16" s="61">
        <f t="shared" si="0"/>
        <v>47447717</v>
      </c>
    </row>
    <row r="17" spans="1:9">
      <c r="A17" s="52" t="s">
        <v>49</v>
      </c>
      <c r="B17" s="53">
        <v>48316788.049999997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48316788.049999997</v>
      </c>
    </row>
    <row r="18" spans="1:9">
      <c r="A18" s="57" t="s">
        <v>50</v>
      </c>
      <c r="B18" s="58">
        <v>170996643</v>
      </c>
      <c r="C18" s="58">
        <v>0</v>
      </c>
      <c r="D18" s="59">
        <v>0</v>
      </c>
      <c r="E18" s="58">
        <v>1322531</v>
      </c>
      <c r="F18" s="58">
        <v>0</v>
      </c>
      <c r="G18" s="58">
        <v>0</v>
      </c>
      <c r="H18" s="60">
        <v>0</v>
      </c>
      <c r="I18" s="61">
        <f t="shared" si="0"/>
        <v>172319174</v>
      </c>
    </row>
    <row r="19" spans="1:9">
      <c r="A19" s="52" t="s">
        <v>51</v>
      </c>
      <c r="B19" s="53">
        <v>337163164.75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337163164.75</v>
      </c>
    </row>
    <row r="20" spans="1:9">
      <c r="A20" s="57" t="s">
        <v>52</v>
      </c>
      <c r="B20" s="58">
        <v>177862365</v>
      </c>
      <c r="C20" s="58">
        <v>1483032</v>
      </c>
      <c r="D20" s="59">
        <v>0</v>
      </c>
      <c r="E20" s="58">
        <v>12219454</v>
      </c>
      <c r="F20" s="58">
        <v>0</v>
      </c>
      <c r="G20" s="58">
        <v>68002113</v>
      </c>
      <c r="H20" s="60">
        <v>0</v>
      </c>
      <c r="I20" s="61">
        <f t="shared" si="0"/>
        <v>259566964</v>
      </c>
    </row>
    <row r="21" spans="1:9">
      <c r="A21" s="52" t="s">
        <v>53</v>
      </c>
      <c r="B21" s="53">
        <v>474622593.39999998</v>
      </c>
      <c r="C21" s="53">
        <v>99625804.400000006</v>
      </c>
      <c r="D21" s="54">
        <v>0</v>
      </c>
      <c r="E21" s="53">
        <v>953399381.14999998</v>
      </c>
      <c r="F21" s="53">
        <v>0</v>
      </c>
      <c r="G21" s="53">
        <v>1362019639</v>
      </c>
      <c r="H21" s="55">
        <v>0</v>
      </c>
      <c r="I21" s="56">
        <f t="shared" si="0"/>
        <v>2889667417.9499998</v>
      </c>
    </row>
    <row r="22" spans="1:9">
      <c r="A22" s="57" t="s">
        <v>54</v>
      </c>
      <c r="B22" s="58">
        <v>245410878</v>
      </c>
      <c r="C22" s="58">
        <v>35031671</v>
      </c>
      <c r="D22" s="59">
        <v>0</v>
      </c>
      <c r="E22" s="58">
        <v>364428014</v>
      </c>
      <c r="F22" s="58">
        <v>0</v>
      </c>
      <c r="G22" s="58">
        <v>821427235</v>
      </c>
      <c r="H22" s="60">
        <v>0</v>
      </c>
      <c r="I22" s="61">
        <f t="shared" si="0"/>
        <v>1466297798</v>
      </c>
    </row>
    <row r="23" spans="1:9">
      <c r="A23" s="52" t="s">
        <v>55</v>
      </c>
      <c r="B23" s="53">
        <v>138653537.15000001</v>
      </c>
      <c r="C23" s="53">
        <v>0</v>
      </c>
      <c r="D23" s="54">
        <v>49800</v>
      </c>
      <c r="E23" s="53">
        <v>258440135.25</v>
      </c>
      <c r="F23" s="53">
        <v>0</v>
      </c>
      <c r="G23" s="53">
        <v>0</v>
      </c>
      <c r="H23" s="55">
        <v>0</v>
      </c>
      <c r="I23" s="56">
        <f t="shared" si="0"/>
        <v>397143472.39999998</v>
      </c>
    </row>
    <row r="24" spans="1:9">
      <c r="A24" s="57" t="s">
        <v>56</v>
      </c>
      <c r="B24" s="58">
        <v>49195442.700000003</v>
      </c>
      <c r="C24" s="58">
        <v>938475.75</v>
      </c>
      <c r="D24" s="59">
        <v>10414608.199999999</v>
      </c>
      <c r="E24" s="58">
        <v>1064804.95</v>
      </c>
      <c r="F24" s="58">
        <v>0</v>
      </c>
      <c r="G24" s="58">
        <v>0</v>
      </c>
      <c r="H24" s="60">
        <v>0</v>
      </c>
      <c r="I24" s="61">
        <f t="shared" si="0"/>
        <v>61613331.600000009</v>
      </c>
    </row>
    <row r="25" spans="1:9">
      <c r="A25" s="52" t="s">
        <v>57</v>
      </c>
      <c r="B25" s="53">
        <v>11808213.380000001</v>
      </c>
      <c r="C25" s="53">
        <v>0</v>
      </c>
      <c r="D25" s="54">
        <v>1375033.45</v>
      </c>
      <c r="E25" s="53">
        <v>506726</v>
      </c>
      <c r="F25" s="53">
        <v>0</v>
      </c>
      <c r="G25" s="53">
        <v>0</v>
      </c>
      <c r="H25" s="55">
        <v>0</v>
      </c>
      <c r="I25" s="56">
        <f t="shared" si="0"/>
        <v>13689972.83</v>
      </c>
    </row>
    <row r="26" spans="1:9">
      <c r="A26" s="57" t="s">
        <v>58</v>
      </c>
      <c r="B26" s="58">
        <v>481549180.29000002</v>
      </c>
      <c r="C26" s="58">
        <v>32418424.149999999</v>
      </c>
      <c r="D26" s="59">
        <v>383176763.69999999</v>
      </c>
      <c r="E26" s="58">
        <v>33970567.5</v>
      </c>
      <c r="F26" s="58">
        <v>0</v>
      </c>
      <c r="G26" s="58">
        <v>0</v>
      </c>
      <c r="H26" s="60">
        <v>0</v>
      </c>
      <c r="I26" s="61">
        <f t="shared" si="0"/>
        <v>931114935.63999999</v>
      </c>
    </row>
    <row r="27" spans="1:9">
      <c r="A27" s="52" t="s">
        <v>59</v>
      </c>
      <c r="B27" s="53">
        <v>535537313</v>
      </c>
      <c r="C27" s="53">
        <v>66172645</v>
      </c>
      <c r="D27" s="54">
        <v>16718449</v>
      </c>
      <c r="E27" s="53">
        <v>181340</v>
      </c>
      <c r="F27" s="53">
        <v>0</v>
      </c>
      <c r="G27" s="53">
        <v>0</v>
      </c>
      <c r="H27" s="55">
        <v>74047371.526315793</v>
      </c>
      <c r="I27" s="56">
        <f t="shared" si="0"/>
        <v>692657118.52631581</v>
      </c>
    </row>
    <row r="28" spans="1:9">
      <c r="A28" s="57" t="s">
        <v>60</v>
      </c>
      <c r="B28" s="58">
        <v>0</v>
      </c>
      <c r="C28" s="58">
        <v>0</v>
      </c>
      <c r="D28" s="59">
        <v>0</v>
      </c>
      <c r="E28" s="58">
        <v>0</v>
      </c>
      <c r="F28" s="58">
        <v>0</v>
      </c>
      <c r="G28" s="58">
        <v>0</v>
      </c>
      <c r="H28" s="60">
        <v>0</v>
      </c>
      <c r="I28" s="61">
        <f t="shared" si="0"/>
        <v>0</v>
      </c>
    </row>
    <row r="29" spans="1:9">
      <c r="A29" s="52" t="s">
        <v>61</v>
      </c>
      <c r="B29" s="53">
        <v>254248484.55000001</v>
      </c>
      <c r="C29" s="53">
        <v>6042609</v>
      </c>
      <c r="D29" s="54">
        <v>15534278</v>
      </c>
      <c r="E29" s="53">
        <v>178782645.94999999</v>
      </c>
      <c r="F29" s="53">
        <v>0</v>
      </c>
      <c r="G29" s="53">
        <v>0</v>
      </c>
      <c r="H29" s="55">
        <v>0</v>
      </c>
      <c r="I29" s="56">
        <f t="shared" si="0"/>
        <v>454608017.5</v>
      </c>
    </row>
    <row r="30" spans="1:9">
      <c r="A30" s="57" t="s">
        <v>62</v>
      </c>
      <c r="B30" s="58">
        <v>627692000</v>
      </c>
      <c r="C30" s="58">
        <v>50360000</v>
      </c>
      <c r="D30" s="59">
        <v>0</v>
      </c>
      <c r="E30" s="58">
        <v>0</v>
      </c>
      <c r="F30" s="58">
        <v>0</v>
      </c>
      <c r="G30" s="58">
        <v>0</v>
      </c>
      <c r="H30" s="60">
        <v>1628000000</v>
      </c>
      <c r="I30" s="61">
        <f t="shared" si="0"/>
        <v>2306052000</v>
      </c>
    </row>
    <row r="31" spans="1:9">
      <c r="A31" s="52" t="s">
        <v>63</v>
      </c>
      <c r="B31" s="53">
        <v>1116154774</v>
      </c>
      <c r="C31" s="53">
        <v>0</v>
      </c>
      <c r="D31" s="54">
        <v>0</v>
      </c>
      <c r="E31" s="53">
        <v>0</v>
      </c>
      <c r="F31" s="53">
        <v>0</v>
      </c>
      <c r="G31" s="53">
        <v>809962638</v>
      </c>
      <c r="H31" s="55">
        <v>0</v>
      </c>
      <c r="I31" s="56">
        <f t="shared" si="0"/>
        <v>1926117412</v>
      </c>
    </row>
    <row r="32" spans="1:9">
      <c r="A32" s="57" t="s">
        <v>64</v>
      </c>
      <c r="B32" s="58">
        <v>538481078.59000003</v>
      </c>
      <c r="C32" s="58">
        <v>713906.8</v>
      </c>
      <c r="D32" s="59">
        <v>0</v>
      </c>
      <c r="E32" s="58">
        <v>0</v>
      </c>
      <c r="F32" s="58">
        <v>0</v>
      </c>
      <c r="G32" s="58">
        <v>39568093</v>
      </c>
      <c r="H32" s="60">
        <v>43351636.399999999</v>
      </c>
      <c r="I32" s="61">
        <f t="shared" si="0"/>
        <v>622114714.78999996</v>
      </c>
    </row>
    <row r="33" spans="1:9">
      <c r="A33" s="52" t="s">
        <v>65</v>
      </c>
      <c r="B33" s="53">
        <v>260950199.00999999</v>
      </c>
      <c r="C33" s="53">
        <v>4875565.5</v>
      </c>
      <c r="D33" s="54">
        <v>0</v>
      </c>
      <c r="E33" s="53">
        <v>0</v>
      </c>
      <c r="F33" s="53">
        <v>0</v>
      </c>
      <c r="G33" s="53">
        <v>352259262</v>
      </c>
      <c r="H33" s="55">
        <v>0</v>
      </c>
      <c r="I33" s="56">
        <f t="shared" si="0"/>
        <v>618085026.50999999</v>
      </c>
    </row>
    <row r="34" spans="1:9">
      <c r="A34" s="57" t="s">
        <v>66</v>
      </c>
      <c r="B34" s="58">
        <v>1296791287.3499999</v>
      </c>
      <c r="C34" s="58">
        <v>0</v>
      </c>
      <c r="D34" s="59">
        <v>0</v>
      </c>
      <c r="E34" s="58">
        <v>0</v>
      </c>
      <c r="F34" s="58">
        <v>3946517048.0900002</v>
      </c>
      <c r="G34" s="58">
        <v>0</v>
      </c>
      <c r="H34" s="60">
        <v>0</v>
      </c>
      <c r="I34" s="61">
        <f t="shared" si="0"/>
        <v>5243308335.4400005</v>
      </c>
    </row>
    <row r="35" spans="1:9">
      <c r="A35" s="62" t="s">
        <v>67</v>
      </c>
      <c r="B35" s="63">
        <v>49309962</v>
      </c>
      <c r="C35" s="63">
        <v>4030796</v>
      </c>
      <c r="D35" s="64">
        <v>0</v>
      </c>
      <c r="E35" s="63">
        <v>631983</v>
      </c>
      <c r="F35" s="63">
        <v>0</v>
      </c>
      <c r="G35" s="63">
        <v>249143620</v>
      </c>
      <c r="H35" s="65">
        <v>0</v>
      </c>
      <c r="I35" s="66">
        <f t="shared" si="0"/>
        <v>303116361</v>
      </c>
    </row>
    <row r="36" spans="1:9">
      <c r="A36" s="2" t="s">
        <v>68</v>
      </c>
      <c r="B36" s="67">
        <f t="shared" ref="B36:H36" si="1">SUM(B10:B35)</f>
        <v>10969601042.75</v>
      </c>
      <c r="C36" s="67">
        <f t="shared" si="1"/>
        <v>327357818.60000002</v>
      </c>
      <c r="D36" s="68">
        <f t="shared" si="1"/>
        <v>427268932.34999996</v>
      </c>
      <c r="E36" s="67">
        <f t="shared" si="1"/>
        <v>2106902042.4000001</v>
      </c>
      <c r="F36" s="67">
        <f t="shared" si="1"/>
        <v>3946517048.0900002</v>
      </c>
      <c r="G36" s="67">
        <f t="shared" si="1"/>
        <v>3753759430</v>
      </c>
      <c r="H36" s="69">
        <f t="shared" si="1"/>
        <v>1745399007.9263158</v>
      </c>
      <c r="I36" s="70">
        <f t="shared" si="0"/>
        <v>23276805322.116318</v>
      </c>
    </row>
    <row r="37" spans="1:9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2003</v>
      </c>
      <c r="B1" s="73"/>
    </row>
    <row r="2" spans="1:4" ht="15.75" customHeight="1">
      <c r="A2" s="74" t="str">
        <f>Gross_wages!A2</f>
        <v>Reference year 2008</v>
      </c>
      <c r="B2" s="75"/>
    </row>
    <row r="3" spans="1:4" ht="33" customHeight="1">
      <c r="C3" s="76" t="str">
        <f>Info!$C$28</f>
        <v>FA_2008_20120424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323672366.24962997</v>
      </c>
      <c r="D5" s="82"/>
    </row>
    <row r="6" spans="1:4">
      <c r="A6" s="83" t="s">
        <v>72</v>
      </c>
      <c r="B6" s="84" t="str">
        <f>"ATB_"&amp;Info!C30&amp;"_"&amp;Info!C31&amp;".xlsx"</f>
        <v>ATB_2008_2003.xlsx</v>
      </c>
      <c r="C6" s="85">
        <f>Calculation_ITS!O39</f>
        <v>135464442.79999995</v>
      </c>
      <c r="D6" s="82"/>
    </row>
    <row r="7" spans="1:4" ht="24.75" customHeight="1">
      <c r="A7" s="86" t="s">
        <v>73</v>
      </c>
      <c r="B7" s="87"/>
      <c r="C7" s="88">
        <f>ROUND(C6/C5,3)</f>
        <v>0.41899999999999998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2003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2008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FA_2008_20120424</v>
      </c>
      <c r="R3" s="9"/>
    </row>
    <row r="4" spans="1:22" ht="37.5" customHeight="1">
      <c r="A4" s="205" t="str">
        <f>"Calculation based on gross wages "&amp;Info!C31</f>
        <v>Calculation based on gross wages 2003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10" t="s">
        <v>74</v>
      </c>
      <c r="O4" s="211"/>
      <c r="P4" s="211"/>
      <c r="Q4" s="212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75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76</v>
      </c>
      <c r="J6" s="99" t="s">
        <v>77</v>
      </c>
      <c r="K6" s="99" t="s">
        <v>78</v>
      </c>
      <c r="L6" s="100" t="s">
        <v>79</v>
      </c>
      <c r="M6" s="101"/>
      <c r="N6" s="102"/>
      <c r="O6" s="103" t="s">
        <v>80</v>
      </c>
      <c r="P6" s="103" t="s">
        <v>81</v>
      </c>
      <c r="Q6" s="104" t="s">
        <v>82</v>
      </c>
      <c r="R6" s="105"/>
      <c r="S6" s="106" t="s">
        <v>83</v>
      </c>
    </row>
    <row r="7" spans="1:22" ht="16.5" customHeight="1">
      <c r="A7" s="107" t="s">
        <v>21</v>
      </c>
      <c r="B7" s="108" t="s">
        <v>84</v>
      </c>
      <c r="C7" s="108" t="s">
        <v>84</v>
      </c>
      <c r="D7" s="109" t="str">
        <f>IF(Info!C31&lt;2006,"0.03 / STR","(1-0.125)*gamma")</f>
        <v>0.03 / STR</v>
      </c>
      <c r="E7" s="110" t="s">
        <v>85</v>
      </c>
      <c r="F7" s="110" t="s">
        <v>86</v>
      </c>
      <c r="G7" s="110" t="s">
        <v>85</v>
      </c>
      <c r="H7" s="111" t="s">
        <v>87</v>
      </c>
      <c r="I7" s="110" t="s">
        <v>88</v>
      </c>
      <c r="J7" s="110"/>
      <c r="K7" s="110" t="s">
        <v>89</v>
      </c>
      <c r="L7" s="112" t="s">
        <v>90</v>
      </c>
      <c r="M7" s="101"/>
      <c r="N7" s="113" t="s">
        <v>21</v>
      </c>
      <c r="O7" s="114"/>
      <c r="P7" s="114"/>
      <c r="Q7" s="115" t="s">
        <v>91</v>
      </c>
      <c r="R7" s="105"/>
      <c r="S7" s="116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20" t="str">
        <f>"Relevant income "&amp;Info!C31</f>
        <v>Relevant income 2003</v>
      </c>
      <c r="P8" s="195" t="s">
        <v>93</v>
      </c>
      <c r="Q8" s="202" t="s">
        <v>94</v>
      </c>
      <c r="R8" s="119"/>
      <c r="S8" s="213" t="s">
        <v>95</v>
      </c>
    </row>
    <row r="9" spans="1:22" s="120" customFormat="1" ht="15.75" customHeight="1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96</v>
      </c>
      <c r="J9" s="195" t="s">
        <v>97</v>
      </c>
      <c r="K9" s="195" t="s">
        <v>98</v>
      </c>
      <c r="L9" s="202" t="s">
        <v>99</v>
      </c>
      <c r="M9" s="118"/>
      <c r="N9" s="121"/>
      <c r="O9" s="221"/>
      <c r="P9" s="204"/>
      <c r="Q9" s="208"/>
      <c r="R9" s="119"/>
      <c r="S9" s="214"/>
      <c r="U9" s="122"/>
      <c r="V9" s="123" t="str">
        <f>Info!C28</f>
        <v>FA_2008_20120424</v>
      </c>
    </row>
    <row r="10" spans="1:22" s="120" customFormat="1" ht="66" customHeight="1">
      <c r="A10" s="31"/>
      <c r="B10" s="204"/>
      <c r="C10" s="204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4"/>
      <c r="J10" s="204"/>
      <c r="K10" s="204"/>
      <c r="L10" s="208"/>
      <c r="M10" s="118"/>
      <c r="N10" s="124"/>
      <c r="O10" s="222"/>
      <c r="P10" s="219"/>
      <c r="Q10" s="209"/>
      <c r="R10" s="119"/>
      <c r="S10" s="214"/>
      <c r="U10" s="217" t="str">
        <f>"Standardised tax revenue (STR) "&amp;Info!C30-1</f>
        <v>Standardised tax revenue (STR) 2007</v>
      </c>
      <c r="V10" s="218"/>
    </row>
    <row r="11" spans="1:22" s="125" customFormat="1" ht="15" customHeight="1">
      <c r="A11" s="126" t="s">
        <v>100</v>
      </c>
      <c r="B11" s="127">
        <f>gamma</f>
        <v>0.41899999999999998</v>
      </c>
      <c r="C11" s="127">
        <f>gamma</f>
        <v>0.41899999999999998</v>
      </c>
      <c r="D11" s="128">
        <f>IF(Info!C31&lt;2006,0.03/sst,0.875*gamma)</f>
        <v>0.1</v>
      </c>
      <c r="E11" s="127">
        <f>0.045/sst</f>
        <v>0.15</v>
      </c>
      <c r="F11" s="127">
        <f>gamma-0.035/sst</f>
        <v>0.30233333333333329</v>
      </c>
      <c r="G11" s="127">
        <f>0.045/sst</f>
        <v>0.15</v>
      </c>
      <c r="H11" s="129">
        <f>0.6*gamma</f>
        <v>0.25139999999999996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ATB_2008_2003.xlsx</v>
      </c>
      <c r="P11" s="133"/>
      <c r="Q11" s="133"/>
      <c r="R11" s="134"/>
      <c r="S11" s="135"/>
      <c r="U11" s="215"/>
      <c r="V11" s="216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1042949.954557</v>
      </c>
      <c r="C13" s="142">
        <f>(Gross_wages!C10*C$11)/1000</f>
        <v>6288.6825909999998</v>
      </c>
      <c r="D13" s="143">
        <f>(Gross_wages!D10*D$11)/1000</f>
        <v>0</v>
      </c>
      <c r="E13" s="142">
        <f>(Gross_wages!E10*E$11)/1000</f>
        <v>44799.1659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51087.848490999997</v>
      </c>
      <c r="J13" s="145">
        <f t="shared" ref="J13:J38" si="1">$J$39</f>
        <v>1</v>
      </c>
      <c r="K13" s="142">
        <f t="shared" ref="K13:K39" si="2">I13*J13</f>
        <v>51087.848490999997</v>
      </c>
      <c r="L13" s="146">
        <f t="shared" ref="L13:L39" si="3">K13+B13</f>
        <v>1094037.803048</v>
      </c>
      <c r="M13" s="147"/>
      <c r="N13" s="141" t="s">
        <v>42</v>
      </c>
      <c r="O13" s="148">
        <v>28404006.899999999</v>
      </c>
      <c r="P13" s="149">
        <v>5.2234724706266597E-2</v>
      </c>
      <c r="Q13" s="146">
        <f>IF(Calculation_ITS!L13=0,O13*P13,0)</f>
        <v>0</v>
      </c>
      <c r="R13" s="150"/>
      <c r="S13" s="151">
        <f>Calculation_ITS!L13+Q13</f>
        <v>1094037.803048</v>
      </c>
      <c r="U13" s="152" t="s">
        <v>101</v>
      </c>
      <c r="V13" s="191">
        <v>0.3</v>
      </c>
    </row>
    <row r="14" spans="1:22" ht="15.75" customHeight="1">
      <c r="A14" s="153" t="s">
        <v>43</v>
      </c>
      <c r="B14" s="154">
        <f>(Gross_wages!B11*B$11)/1000</f>
        <v>405572.23493199999</v>
      </c>
      <c r="C14" s="154">
        <f>(Gross_wages!C11*C$11)/1000</f>
        <v>0</v>
      </c>
      <c r="D14" s="155">
        <f>(Gross_wages!D11*D$11)/1000</f>
        <v>0</v>
      </c>
      <c r="E14" s="154">
        <f>(Gross_wages!E11*E$11)/1000</f>
        <v>151.416</v>
      </c>
      <c r="F14" s="154">
        <f>(Gross_wages!F11*F$11)/1000</f>
        <v>0</v>
      </c>
      <c r="G14" s="154">
        <f>(Gross_wages!G11*G$11)/1000</f>
        <v>7706.5245000000004</v>
      </c>
      <c r="H14" s="156">
        <f>(Gross_wages!H11*H$11)/1000</f>
        <v>0</v>
      </c>
      <c r="I14" s="154">
        <f t="shared" si="0"/>
        <v>7857.9405000000006</v>
      </c>
      <c r="J14" s="157">
        <f t="shared" si="1"/>
        <v>1</v>
      </c>
      <c r="K14" s="154">
        <f t="shared" si="2"/>
        <v>7857.9405000000006</v>
      </c>
      <c r="L14" s="158">
        <f t="shared" si="3"/>
        <v>413430.17543200002</v>
      </c>
      <c r="M14" s="147"/>
      <c r="N14" s="153" t="s">
        <v>43</v>
      </c>
      <c r="O14" s="159">
        <v>14368748.699999999</v>
      </c>
      <c r="P14" s="160">
        <v>4.6229413213338497E-2</v>
      </c>
      <c r="Q14" s="158">
        <f>IF(Calculation_ITS!L14=0,O14*P14,0)</f>
        <v>0</v>
      </c>
      <c r="R14" s="150"/>
      <c r="S14" s="161">
        <f>Calculation_ITS!L14+Q14</f>
        <v>413430.17543200002</v>
      </c>
      <c r="U14" s="162" t="s">
        <v>102</v>
      </c>
      <c r="V14" s="163">
        <f>ROUND(V13,3)</f>
        <v>0.3</v>
      </c>
    </row>
    <row r="15" spans="1:22" ht="15.75" customHeight="1">
      <c r="A15" s="164" t="s">
        <v>44</v>
      </c>
      <c r="B15" s="165">
        <f>(Gross_wages!B12*B$11)/1000</f>
        <v>174552.60694599999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214.8999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214.8999</v>
      </c>
      <c r="J15" s="168">
        <f t="shared" si="1"/>
        <v>1</v>
      </c>
      <c r="K15" s="165">
        <f t="shared" si="2"/>
        <v>214.8999</v>
      </c>
      <c r="L15" s="169">
        <f t="shared" si="3"/>
        <v>174767.50684599997</v>
      </c>
      <c r="M15" s="147"/>
      <c r="N15" s="164" t="s">
        <v>44</v>
      </c>
      <c r="O15" s="170">
        <v>5257414.5999999996</v>
      </c>
      <c r="P15" s="171">
        <v>5.5816183229421702E-2</v>
      </c>
      <c r="Q15" s="169">
        <f>IF(Calculation_ITS!L15=0,O15*P15,0)</f>
        <v>0</v>
      </c>
      <c r="R15" s="150"/>
      <c r="S15" s="172">
        <f>Calculation_ITS!L15+Q15</f>
        <v>174767.50684599997</v>
      </c>
    </row>
    <row r="16" spans="1:22" ht="15.75" customHeight="1">
      <c r="A16" s="153" t="s">
        <v>45</v>
      </c>
      <c r="B16" s="154">
        <f>(Gross_wages!B13*B$11)/1000</f>
        <v>16754.176737999998</v>
      </c>
      <c r="C16" s="154">
        <f>(Gross_wages!C13*C$11)/1000</f>
        <v>0</v>
      </c>
      <c r="D16" s="155">
        <f>(Gross_wages!D13*D$11)/1000</f>
        <v>0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0</v>
      </c>
      <c r="J16" s="157">
        <f t="shared" si="1"/>
        <v>1</v>
      </c>
      <c r="K16" s="154">
        <f t="shared" si="2"/>
        <v>0</v>
      </c>
      <c r="L16" s="158">
        <f t="shared" si="3"/>
        <v>16754.176737999998</v>
      </c>
      <c r="M16" s="147"/>
      <c r="N16" s="153" t="s">
        <v>45</v>
      </c>
      <c r="O16" s="159">
        <v>412226.9</v>
      </c>
      <c r="P16" s="160">
        <v>5.6000268919250203E-2</v>
      </c>
      <c r="Q16" s="158">
        <f>IF(Calculation_ITS!L16=0,O16*P16,0)</f>
        <v>0</v>
      </c>
      <c r="R16" s="150"/>
      <c r="S16" s="161">
        <f>Calculation_ITS!L16+Q16</f>
        <v>16754.176737999998</v>
      </c>
    </row>
    <row r="17" spans="1:19" ht="15.75" customHeight="1">
      <c r="A17" s="164" t="s">
        <v>46</v>
      </c>
      <c r="B17" s="165">
        <f>(Gross_wages!B14*B$11)/1000</f>
        <v>58104.589002439992</v>
      </c>
      <c r="C17" s="165">
        <f>(Gross_wages!C14*C$11)/1000</f>
        <v>4464.9058999999997</v>
      </c>
      <c r="D17" s="166">
        <f>(Gross_wages!D14*D$11)/1000</f>
        <v>0</v>
      </c>
      <c r="E17" s="165">
        <f>(Gross_wages!E14*E$11)/1000</f>
        <v>127.68713999999999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4592.5930399999997</v>
      </c>
      <c r="J17" s="168">
        <f t="shared" si="1"/>
        <v>1</v>
      </c>
      <c r="K17" s="165">
        <f t="shared" si="2"/>
        <v>4592.5930399999997</v>
      </c>
      <c r="L17" s="169">
        <f t="shared" si="3"/>
        <v>62697.182042439992</v>
      </c>
      <c r="M17" s="147"/>
      <c r="N17" s="164" t="s">
        <v>46</v>
      </c>
      <c r="O17" s="170">
        <v>3251918.6</v>
      </c>
      <c r="P17" s="171">
        <v>3.0838736784845899E-2</v>
      </c>
      <c r="Q17" s="169">
        <f>IF(Calculation_ITS!L17=0,O17*P17,0)</f>
        <v>0</v>
      </c>
      <c r="R17" s="150"/>
      <c r="S17" s="172">
        <f>Calculation_ITS!L17+Q17</f>
        <v>62697.182042439992</v>
      </c>
    </row>
    <row r="18" spans="1:19" ht="15.75" customHeight="1">
      <c r="A18" s="153" t="s">
        <v>47</v>
      </c>
      <c r="B18" s="154">
        <f>(Gross_wages!B15*B$11)/1000</f>
        <v>23070.985445629998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1</v>
      </c>
      <c r="K18" s="154">
        <f t="shared" si="2"/>
        <v>0</v>
      </c>
      <c r="L18" s="158">
        <f t="shared" si="3"/>
        <v>23070.985445629998</v>
      </c>
      <c r="M18" s="147"/>
      <c r="N18" s="153" t="s">
        <v>47</v>
      </c>
      <c r="O18" s="159">
        <v>466702.6</v>
      </c>
      <c r="P18" s="160">
        <v>5.70455760164882E-2</v>
      </c>
      <c r="Q18" s="158">
        <f>IF(Calculation_ITS!L18=0,O18*P18,0)</f>
        <v>0</v>
      </c>
      <c r="R18" s="150"/>
      <c r="S18" s="161">
        <f>Calculation_ITS!L18+Q18</f>
        <v>23070.985445629998</v>
      </c>
    </row>
    <row r="19" spans="1:19" ht="15.75" customHeight="1">
      <c r="A19" s="164" t="s">
        <v>48</v>
      </c>
      <c r="B19" s="165">
        <f>(Gross_wages!B16*B$11)/1000</f>
        <v>19880.593423000002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0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0</v>
      </c>
      <c r="J19" s="168">
        <f t="shared" si="1"/>
        <v>1</v>
      </c>
      <c r="K19" s="165">
        <f t="shared" si="2"/>
        <v>0</v>
      </c>
      <c r="L19" s="169">
        <f t="shared" si="3"/>
        <v>19880.593423000002</v>
      </c>
      <c r="M19" s="147"/>
      <c r="N19" s="164" t="s">
        <v>48</v>
      </c>
      <c r="O19" s="170">
        <v>946257.5</v>
      </c>
      <c r="P19" s="171">
        <v>2.6868250293845999E-2</v>
      </c>
      <c r="Q19" s="169">
        <f>IF(Calculation_ITS!L19=0,O19*P19,0)</f>
        <v>0</v>
      </c>
      <c r="R19" s="150"/>
      <c r="S19" s="172">
        <f>Calculation_ITS!L19+Q19</f>
        <v>19880.593423000002</v>
      </c>
    </row>
    <row r="20" spans="1:19" ht="15.75" customHeight="1">
      <c r="A20" s="153" t="s">
        <v>49</v>
      </c>
      <c r="B20" s="154">
        <f>(Gross_wages!B17*B$11)/1000</f>
        <v>20244.73419295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1</v>
      </c>
      <c r="K20" s="154">
        <f t="shared" si="2"/>
        <v>0</v>
      </c>
      <c r="L20" s="158">
        <f t="shared" si="3"/>
        <v>20244.73419295</v>
      </c>
      <c r="M20" s="147"/>
      <c r="N20" s="153" t="s">
        <v>49</v>
      </c>
      <c r="O20" s="159">
        <v>518577.3</v>
      </c>
      <c r="P20" s="160">
        <v>5.6643997086873697E-2</v>
      </c>
      <c r="Q20" s="158">
        <f>IF(Calculation_ITS!L20=0,O20*P20,0)</f>
        <v>0</v>
      </c>
      <c r="R20" s="150"/>
      <c r="S20" s="161">
        <f>Calculation_ITS!L20+Q20</f>
        <v>20244.73419295</v>
      </c>
    </row>
    <row r="21" spans="1:19" ht="15.75" customHeight="1">
      <c r="A21" s="164" t="s">
        <v>50</v>
      </c>
      <c r="B21" s="165">
        <f>(Gross_wages!B18*B$11)/1000</f>
        <v>71647.593416999996</v>
      </c>
      <c r="C21" s="165">
        <f>(Gross_wages!C18*C$11)/1000</f>
        <v>0</v>
      </c>
      <c r="D21" s="166">
        <f>(Gross_wages!D18*D$11)/1000</f>
        <v>0</v>
      </c>
      <c r="E21" s="165">
        <f>(Gross_wages!E18*E$11)/1000</f>
        <v>198.37965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198.37965</v>
      </c>
      <c r="J21" s="168">
        <f t="shared" si="1"/>
        <v>1</v>
      </c>
      <c r="K21" s="165">
        <f t="shared" si="2"/>
        <v>198.37965</v>
      </c>
      <c r="L21" s="169">
        <f t="shared" si="3"/>
        <v>71845.973066999999</v>
      </c>
      <c r="M21" s="147"/>
      <c r="N21" s="164" t="s">
        <v>50</v>
      </c>
      <c r="O21" s="170">
        <v>3154607.4</v>
      </c>
      <c r="P21" s="171">
        <v>4.1631976171516399E-2</v>
      </c>
      <c r="Q21" s="169">
        <f>IF(Calculation_ITS!L21=0,O21*P21,0)</f>
        <v>0</v>
      </c>
      <c r="R21" s="150"/>
      <c r="S21" s="172">
        <f>Calculation_ITS!L21+Q21</f>
        <v>71845.973066999999</v>
      </c>
    </row>
    <row r="22" spans="1:19" ht="15.75" customHeight="1">
      <c r="A22" s="153" t="s">
        <v>51</v>
      </c>
      <c r="B22" s="154">
        <f>(Gross_wages!B19*B$11)/1000</f>
        <v>141271.36603024998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1</v>
      </c>
      <c r="K22" s="154">
        <f t="shared" si="2"/>
        <v>0</v>
      </c>
      <c r="L22" s="158">
        <f t="shared" si="3"/>
        <v>141271.36603024998</v>
      </c>
      <c r="M22" s="147"/>
      <c r="N22" s="153" t="s">
        <v>51</v>
      </c>
      <c r="O22" s="159">
        <v>3625555.4</v>
      </c>
      <c r="P22" s="160">
        <v>5.7599345766028799E-2</v>
      </c>
      <c r="Q22" s="158">
        <f>IF(Calculation_ITS!L22=0,O22*P22,0)</f>
        <v>0</v>
      </c>
      <c r="R22" s="150"/>
      <c r="S22" s="161">
        <f>Calculation_ITS!L22+Q22</f>
        <v>141271.36603024998</v>
      </c>
    </row>
    <row r="23" spans="1:19" ht="15.75" customHeight="1">
      <c r="A23" s="164" t="s">
        <v>52</v>
      </c>
      <c r="B23" s="165">
        <f>(Gross_wages!B20*B$11)/1000</f>
        <v>74524.330935000005</v>
      </c>
      <c r="C23" s="165">
        <f>(Gross_wages!C20*C$11)/1000</f>
        <v>621.39040799999998</v>
      </c>
      <c r="D23" s="166">
        <f>(Gross_wages!D20*D$11)/1000</f>
        <v>0</v>
      </c>
      <c r="E23" s="165">
        <f>(Gross_wages!E20*E$11)/1000</f>
        <v>1832.9180999999999</v>
      </c>
      <c r="F23" s="165">
        <f>(Gross_wages!F20*F$11)/1000</f>
        <v>0</v>
      </c>
      <c r="G23" s="165">
        <f>(Gross_wages!G20*G$11)/1000</f>
        <v>10200.316949999999</v>
      </c>
      <c r="H23" s="167">
        <f>(Gross_wages!H20*H$11)/1000</f>
        <v>0</v>
      </c>
      <c r="I23" s="165">
        <f t="shared" si="0"/>
        <v>12654.625457999999</v>
      </c>
      <c r="J23" s="168">
        <f t="shared" si="1"/>
        <v>1</v>
      </c>
      <c r="K23" s="165">
        <f t="shared" si="2"/>
        <v>12654.625457999999</v>
      </c>
      <c r="L23" s="169">
        <f t="shared" si="3"/>
        <v>87178.956393</v>
      </c>
      <c r="M23" s="147"/>
      <c r="N23" s="164" t="s">
        <v>52</v>
      </c>
      <c r="O23" s="170">
        <v>3926000</v>
      </c>
      <c r="P23" s="171">
        <v>4.1370162882411701E-2</v>
      </c>
      <c r="Q23" s="169">
        <f>IF(Calculation_ITS!L23=0,O23*P23,0)</f>
        <v>0</v>
      </c>
      <c r="R23" s="150"/>
      <c r="S23" s="172">
        <f>Calculation_ITS!L23+Q23</f>
        <v>87178.956393</v>
      </c>
    </row>
    <row r="24" spans="1:19" ht="15.75" customHeight="1">
      <c r="A24" s="153" t="s">
        <v>53</v>
      </c>
      <c r="B24" s="154">
        <f>(Gross_wages!B21*B$11)/1000</f>
        <v>198866.86663459998</v>
      </c>
      <c r="C24" s="154">
        <f>(Gross_wages!C21*C$11)/1000</f>
        <v>41743.212043599997</v>
      </c>
      <c r="D24" s="155">
        <f>(Gross_wages!D21*D$11)/1000</f>
        <v>0</v>
      </c>
      <c r="E24" s="154">
        <f>(Gross_wages!E21*E$11)/1000</f>
        <v>143009.90717249998</v>
      </c>
      <c r="F24" s="154">
        <f>(Gross_wages!F21*F$11)/1000</f>
        <v>0</v>
      </c>
      <c r="G24" s="154">
        <f>(Gross_wages!G21*G$11)/1000</f>
        <v>204302.94584999999</v>
      </c>
      <c r="H24" s="156">
        <f>(Gross_wages!H21*H$11)/1000</f>
        <v>0</v>
      </c>
      <c r="I24" s="154">
        <f t="shared" si="0"/>
        <v>389056.06506609998</v>
      </c>
      <c r="J24" s="157">
        <f t="shared" si="1"/>
        <v>1</v>
      </c>
      <c r="K24" s="154">
        <f t="shared" si="2"/>
        <v>389056.06506609998</v>
      </c>
      <c r="L24" s="158">
        <f t="shared" si="3"/>
        <v>587922.93170069996</v>
      </c>
      <c r="M24" s="147"/>
      <c r="N24" s="153" t="s">
        <v>53</v>
      </c>
      <c r="O24" s="159">
        <v>3897751.8</v>
      </c>
      <c r="P24" s="160">
        <v>0.17041041336719401</v>
      </c>
      <c r="Q24" s="158">
        <f>IF(Calculation_ITS!L24=0,O24*P24,0)</f>
        <v>0</v>
      </c>
      <c r="R24" s="150"/>
      <c r="S24" s="161">
        <f>Calculation_ITS!L24+Q24</f>
        <v>587922.93170069996</v>
      </c>
    </row>
    <row r="25" spans="1:19" ht="15.75" customHeight="1">
      <c r="A25" s="164" t="s">
        <v>54</v>
      </c>
      <c r="B25" s="165">
        <f>(Gross_wages!B22*B$11)/1000</f>
        <v>102827.157882</v>
      </c>
      <c r="C25" s="165">
        <f>(Gross_wages!C22*C$11)/1000</f>
        <v>14678.270149</v>
      </c>
      <c r="D25" s="166">
        <f>(Gross_wages!D22*D$11)/1000</f>
        <v>0</v>
      </c>
      <c r="E25" s="165">
        <f>(Gross_wages!E22*E$11)/1000</f>
        <v>54664.202100000002</v>
      </c>
      <c r="F25" s="165">
        <f>(Gross_wages!F22*F$11)/1000</f>
        <v>0</v>
      </c>
      <c r="G25" s="165">
        <f>(Gross_wages!G22*G$11)/1000</f>
        <v>123214.08525</v>
      </c>
      <c r="H25" s="167">
        <f>(Gross_wages!H22*H$11)/1000</f>
        <v>0</v>
      </c>
      <c r="I25" s="165">
        <f t="shared" si="0"/>
        <v>192556.55749899999</v>
      </c>
      <c r="J25" s="168">
        <f t="shared" si="1"/>
        <v>1</v>
      </c>
      <c r="K25" s="165">
        <f t="shared" si="2"/>
        <v>192556.55749899999</v>
      </c>
      <c r="L25" s="169">
        <f t="shared" si="3"/>
        <v>295383.71538099996</v>
      </c>
      <c r="M25" s="147"/>
      <c r="N25" s="164" t="s">
        <v>54</v>
      </c>
      <c r="O25" s="170">
        <v>5736046.5</v>
      </c>
      <c r="P25" s="171">
        <v>7.1677180247534403E-2</v>
      </c>
      <c r="Q25" s="169">
        <f>IF(Calculation_ITS!L25=0,O25*P25,0)</f>
        <v>0</v>
      </c>
      <c r="R25" s="150"/>
      <c r="S25" s="172">
        <f>Calculation_ITS!L25+Q25</f>
        <v>295383.71538099996</v>
      </c>
    </row>
    <row r="26" spans="1:19" ht="15.75" customHeight="1">
      <c r="A26" s="153" t="s">
        <v>55</v>
      </c>
      <c r="B26" s="154">
        <f>(Gross_wages!B23*B$11)/1000</f>
        <v>58095.832065849994</v>
      </c>
      <c r="C26" s="154">
        <f>(Gross_wages!C23*C$11)/1000</f>
        <v>0</v>
      </c>
      <c r="D26" s="155">
        <f>(Gross_wages!D23*D$11)/1000</f>
        <v>4.9800000000000004</v>
      </c>
      <c r="E26" s="154">
        <f>(Gross_wages!E23*E$11)/1000</f>
        <v>38766.020287500003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38771.000287500006</v>
      </c>
      <c r="J26" s="157">
        <f t="shared" si="1"/>
        <v>1</v>
      </c>
      <c r="K26" s="154">
        <f t="shared" si="2"/>
        <v>38771.000287500006</v>
      </c>
      <c r="L26" s="158">
        <f t="shared" si="3"/>
        <v>96866.832353350008</v>
      </c>
      <c r="M26" s="147"/>
      <c r="N26" s="153" t="s">
        <v>55</v>
      </c>
      <c r="O26" s="159">
        <v>1145092.7</v>
      </c>
      <c r="P26" s="160">
        <v>8.6930070736573897E-2</v>
      </c>
      <c r="Q26" s="158">
        <f>IF(Calculation_ITS!L26=0,O26*P26,0)</f>
        <v>0</v>
      </c>
      <c r="R26" s="150"/>
      <c r="S26" s="161">
        <f>Calculation_ITS!L26+Q26</f>
        <v>96866.832353350008</v>
      </c>
    </row>
    <row r="27" spans="1:19" ht="15.75" customHeight="1">
      <c r="A27" s="164" t="s">
        <v>56</v>
      </c>
      <c r="B27" s="165">
        <f>(Gross_wages!B24*B$11)/1000</f>
        <v>20612.890491300001</v>
      </c>
      <c r="C27" s="165">
        <f>(Gross_wages!C24*C$11)/1000</f>
        <v>393.22133924999997</v>
      </c>
      <c r="D27" s="166">
        <f>(Gross_wages!D24*D$11)/1000</f>
        <v>1041.46082</v>
      </c>
      <c r="E27" s="165">
        <f>(Gross_wages!E24*E$11)/1000</f>
        <v>159.7207425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1594.40290175</v>
      </c>
      <c r="J27" s="168">
        <f t="shared" si="1"/>
        <v>1</v>
      </c>
      <c r="K27" s="165">
        <f t="shared" si="2"/>
        <v>1594.40290175</v>
      </c>
      <c r="L27" s="169">
        <f t="shared" si="3"/>
        <v>22207.29339305</v>
      </c>
      <c r="M27" s="147"/>
      <c r="N27" s="164" t="s">
        <v>56</v>
      </c>
      <c r="O27" s="170">
        <v>836224.1</v>
      </c>
      <c r="P27" s="171">
        <v>4.10750623091998E-2</v>
      </c>
      <c r="Q27" s="169">
        <f>IF(Calculation_ITS!L27=0,O27*P27,0)</f>
        <v>0</v>
      </c>
      <c r="R27" s="150"/>
      <c r="S27" s="172">
        <f>Calculation_ITS!L27+Q27</f>
        <v>22207.29339305</v>
      </c>
    </row>
    <row r="28" spans="1:19" ht="15.75" customHeight="1">
      <c r="A28" s="153" t="s">
        <v>57</v>
      </c>
      <c r="B28" s="154">
        <f>(Gross_wages!B25*B$11)/1000</f>
        <v>4947.6414062200001</v>
      </c>
      <c r="C28" s="154">
        <f>(Gross_wages!C25*C$11)/1000</f>
        <v>0</v>
      </c>
      <c r="D28" s="155">
        <f>(Gross_wages!D25*D$11)/1000</f>
        <v>137.503345</v>
      </c>
      <c r="E28" s="154">
        <f>(Gross_wages!E25*E$11)/1000</f>
        <v>76.008899999999997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213.51224500000001</v>
      </c>
      <c r="J28" s="157">
        <f t="shared" si="1"/>
        <v>1</v>
      </c>
      <c r="K28" s="154">
        <f t="shared" si="2"/>
        <v>213.51224500000001</v>
      </c>
      <c r="L28" s="158">
        <f t="shared" si="3"/>
        <v>5161.15365122</v>
      </c>
      <c r="M28" s="147"/>
      <c r="N28" s="153" t="s">
        <v>57</v>
      </c>
      <c r="O28" s="159">
        <v>232853.5</v>
      </c>
      <c r="P28" s="160">
        <v>4.1680758989974899E-2</v>
      </c>
      <c r="Q28" s="158">
        <f>IF(Calculation_ITS!L28=0,O28*P28,0)</f>
        <v>0</v>
      </c>
      <c r="R28" s="150"/>
      <c r="S28" s="161">
        <f>Calculation_ITS!L28+Q28</f>
        <v>5161.15365122</v>
      </c>
    </row>
    <row r="29" spans="1:19" ht="15.75" customHeight="1">
      <c r="A29" s="164" t="s">
        <v>58</v>
      </c>
      <c r="B29" s="165">
        <f>(Gross_wages!B26*B$11)/1000</f>
        <v>201769.10654151</v>
      </c>
      <c r="C29" s="165">
        <f>(Gross_wages!C26*C$11)/1000</f>
        <v>13583.319718849998</v>
      </c>
      <c r="D29" s="166">
        <f>(Gross_wages!D26*D$11)/1000</f>
        <v>38317.676369999994</v>
      </c>
      <c r="E29" s="165">
        <f>(Gross_wages!E26*E$11)/1000</f>
        <v>5095.5851249999996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56996.58121384999</v>
      </c>
      <c r="J29" s="168">
        <f t="shared" si="1"/>
        <v>1</v>
      </c>
      <c r="K29" s="165">
        <f t="shared" si="2"/>
        <v>56996.58121384999</v>
      </c>
      <c r="L29" s="169">
        <f t="shared" si="3"/>
        <v>258765.68775535998</v>
      </c>
      <c r="M29" s="147"/>
      <c r="N29" s="164" t="s">
        <v>58</v>
      </c>
      <c r="O29" s="170">
        <v>6992209.5</v>
      </c>
      <c r="P29" s="171">
        <v>5.8497082536976698E-2</v>
      </c>
      <c r="Q29" s="169">
        <f>IF(Calculation_ITS!L29=0,O29*P29,0)</f>
        <v>0</v>
      </c>
      <c r="R29" s="150"/>
      <c r="S29" s="172">
        <f>Calculation_ITS!L29+Q29</f>
        <v>258765.68775535998</v>
      </c>
    </row>
    <row r="30" spans="1:19" ht="15.75" customHeight="1">
      <c r="A30" s="153" t="s">
        <v>59</v>
      </c>
      <c r="B30" s="154">
        <f>(Gross_wages!B27*B$11)/1000</f>
        <v>224390.13414699998</v>
      </c>
      <c r="C30" s="154">
        <f>(Gross_wages!C27*C$11)/1000</f>
        <v>27726.338254999999</v>
      </c>
      <c r="D30" s="155">
        <f>(Gross_wages!D27*D$11)/1000</f>
        <v>1671.8449000000001</v>
      </c>
      <c r="E30" s="154">
        <f>(Gross_wages!E27*E$11)/1000</f>
        <v>27.201000000000001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18615.509201715788</v>
      </c>
      <c r="I30" s="154">
        <f t="shared" si="0"/>
        <v>48040.893356715787</v>
      </c>
      <c r="J30" s="157">
        <f t="shared" si="1"/>
        <v>1</v>
      </c>
      <c r="K30" s="154">
        <f t="shared" si="2"/>
        <v>48040.893356715787</v>
      </c>
      <c r="L30" s="158">
        <f t="shared" si="3"/>
        <v>272431.02750371577</v>
      </c>
      <c r="M30" s="147"/>
      <c r="N30" s="153" t="s">
        <v>59</v>
      </c>
      <c r="O30" s="159">
        <v>2906074.1</v>
      </c>
      <c r="P30" s="160">
        <v>0.105461404560091</v>
      </c>
      <c r="Q30" s="158">
        <f>IF(Calculation_ITS!L30=0,O30*P30,0)</f>
        <v>0</v>
      </c>
      <c r="R30" s="150"/>
      <c r="S30" s="161">
        <f>Calculation_ITS!L30+Q30</f>
        <v>272431.02750371577</v>
      </c>
    </row>
    <row r="31" spans="1:19" ht="15.75" customHeight="1">
      <c r="A31" s="164" t="s">
        <v>60</v>
      </c>
      <c r="B31" s="165">
        <f>(Gross_wages!B28*B$11)/1000</f>
        <v>0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0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0</v>
      </c>
      <c r="J31" s="168">
        <f t="shared" si="1"/>
        <v>1</v>
      </c>
      <c r="K31" s="165">
        <f t="shared" si="2"/>
        <v>0</v>
      </c>
      <c r="L31" s="169">
        <f t="shared" si="3"/>
        <v>0</v>
      </c>
      <c r="M31" s="147"/>
      <c r="N31" s="164" t="s">
        <v>60</v>
      </c>
      <c r="O31" s="170">
        <v>9933316.4000000004</v>
      </c>
      <c r="P31" s="171">
        <v>6.4022767808467204E-2</v>
      </c>
      <c r="Q31" s="169">
        <f>IF(Calculation_ITS!L31=0,O31*P31,0)</f>
        <v>635958.40944523935</v>
      </c>
      <c r="R31" s="150"/>
      <c r="S31" s="172">
        <f>Calculation_ITS!L31+Q31</f>
        <v>635958.40944523935</v>
      </c>
    </row>
    <row r="32" spans="1:19" ht="15.75" customHeight="1">
      <c r="A32" s="153" t="s">
        <v>61</v>
      </c>
      <c r="B32" s="154">
        <f>(Gross_wages!B29*B$11)/1000</f>
        <v>106530.11502645</v>
      </c>
      <c r="C32" s="154">
        <f>(Gross_wages!C29*C$11)/1000</f>
        <v>2531.8531710000002</v>
      </c>
      <c r="D32" s="155">
        <f>(Gross_wages!D29*D$11)/1000</f>
        <v>1553.4277999999999</v>
      </c>
      <c r="E32" s="154">
        <f>(Gross_wages!E29*E$11)/1000</f>
        <v>26817.396892499997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30902.677863499997</v>
      </c>
      <c r="J32" s="157">
        <f t="shared" si="1"/>
        <v>1</v>
      </c>
      <c r="K32" s="154">
        <f t="shared" si="2"/>
        <v>30902.677863499997</v>
      </c>
      <c r="L32" s="158">
        <f t="shared" si="3"/>
        <v>137432.79288995001</v>
      </c>
      <c r="M32" s="147"/>
      <c r="N32" s="153" t="s">
        <v>61</v>
      </c>
      <c r="O32" s="159">
        <v>3341279.1</v>
      </c>
      <c r="P32" s="160">
        <v>6.1640692756198497E-2</v>
      </c>
      <c r="Q32" s="158">
        <f>IF(Calculation_ITS!L32=0,O32*P32,0)</f>
        <v>0</v>
      </c>
      <c r="R32" s="150"/>
      <c r="S32" s="161">
        <f>Calculation_ITS!L32+Q32</f>
        <v>137432.79288995001</v>
      </c>
    </row>
    <row r="33" spans="1:19" ht="15.75" customHeight="1">
      <c r="A33" s="164" t="s">
        <v>62</v>
      </c>
      <c r="B33" s="165">
        <f>(Gross_wages!B30*B$11)/1000</f>
        <v>263002.94799999997</v>
      </c>
      <c r="C33" s="165">
        <f>(Gross_wages!C30*C$11)/1000</f>
        <v>21100.84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409279.19999999995</v>
      </c>
      <c r="I33" s="165">
        <f t="shared" si="0"/>
        <v>430380.04</v>
      </c>
      <c r="J33" s="168">
        <f t="shared" si="1"/>
        <v>1</v>
      </c>
      <c r="K33" s="165">
        <f t="shared" si="2"/>
        <v>430380.04</v>
      </c>
      <c r="L33" s="169">
        <f t="shared" si="3"/>
        <v>693382.9879999999</v>
      </c>
      <c r="M33" s="147"/>
      <c r="N33" s="164" t="s">
        <v>62</v>
      </c>
      <c r="O33" s="170">
        <v>5253511.3</v>
      </c>
      <c r="P33" s="171">
        <v>0.15962516143247499</v>
      </c>
      <c r="Q33" s="169">
        <f>IF(Calculation_ITS!L33=0,O33*P33,0)</f>
        <v>0</v>
      </c>
      <c r="R33" s="150"/>
      <c r="S33" s="172">
        <f>Calculation_ITS!L33+Q33</f>
        <v>693382.9879999999</v>
      </c>
    </row>
    <row r="34" spans="1:19" ht="15.75" customHeight="1">
      <c r="A34" s="153" t="s">
        <v>63</v>
      </c>
      <c r="B34" s="154">
        <f>(Gross_wages!B31*B$11)/1000</f>
        <v>467668.85030599998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121494.39569999999</v>
      </c>
      <c r="H34" s="156">
        <f>(Gross_wages!H31*H$11)/1000</f>
        <v>0</v>
      </c>
      <c r="I34" s="154">
        <f t="shared" si="0"/>
        <v>121494.39569999999</v>
      </c>
      <c r="J34" s="157">
        <f t="shared" si="1"/>
        <v>1</v>
      </c>
      <c r="K34" s="154">
        <f t="shared" si="2"/>
        <v>121494.39569999999</v>
      </c>
      <c r="L34" s="158">
        <f t="shared" si="3"/>
        <v>589163.24600599997</v>
      </c>
      <c r="M34" s="147"/>
      <c r="N34" s="153" t="s">
        <v>63</v>
      </c>
      <c r="O34" s="159">
        <v>13367050</v>
      </c>
      <c r="P34" s="160">
        <v>7.4874184155433399E-2</v>
      </c>
      <c r="Q34" s="158">
        <f>IF(Calculation_ITS!L34=0,O34*P34,0)</f>
        <v>0</v>
      </c>
      <c r="R34" s="150"/>
      <c r="S34" s="161">
        <f>Calculation_ITS!L34+Q34</f>
        <v>589163.24600599997</v>
      </c>
    </row>
    <row r="35" spans="1:19" ht="15.75" customHeight="1">
      <c r="A35" s="164" t="s">
        <v>64</v>
      </c>
      <c r="B35" s="165">
        <f>(Gross_wages!B32*B$11)/1000</f>
        <v>225623.57192921001</v>
      </c>
      <c r="C35" s="165">
        <f>(Gross_wages!C32*C$11)/1000</f>
        <v>299.12694920000001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5935.2139500000003</v>
      </c>
      <c r="H35" s="167">
        <f>(Gross_wages!H32*H$11)/1000</f>
        <v>10898.601390959999</v>
      </c>
      <c r="I35" s="165">
        <f t="shared" si="0"/>
        <v>17132.942290159997</v>
      </c>
      <c r="J35" s="168">
        <f t="shared" si="1"/>
        <v>1</v>
      </c>
      <c r="K35" s="165">
        <f t="shared" si="2"/>
        <v>17132.942290159997</v>
      </c>
      <c r="L35" s="169">
        <f t="shared" si="3"/>
        <v>242756.51421937</v>
      </c>
      <c r="M35" s="147"/>
      <c r="N35" s="164" t="s">
        <v>64</v>
      </c>
      <c r="O35" s="170">
        <v>3989696</v>
      </c>
      <c r="P35" s="171">
        <v>7.6008473097317397E-2</v>
      </c>
      <c r="Q35" s="169">
        <f>IF(Calculation_ITS!L35=0,O35*P35,0)</f>
        <v>0</v>
      </c>
      <c r="R35" s="150"/>
      <c r="S35" s="172">
        <f>Calculation_ITS!L35+Q35</f>
        <v>242756.51421937</v>
      </c>
    </row>
    <row r="36" spans="1:19" ht="15.75" customHeight="1">
      <c r="A36" s="153" t="s">
        <v>65</v>
      </c>
      <c r="B36" s="154">
        <f>(Gross_wages!B33*B$11)/1000</f>
        <v>109338.13338519</v>
      </c>
      <c r="C36" s="154">
        <f>(Gross_wages!C33*C$11)/1000</f>
        <v>2042.8619444999999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52838.889299999995</v>
      </c>
      <c r="H36" s="156">
        <f>(Gross_wages!H33*H$11)/1000</f>
        <v>0</v>
      </c>
      <c r="I36" s="154">
        <f t="shared" si="0"/>
        <v>54881.751244499996</v>
      </c>
      <c r="J36" s="157">
        <f t="shared" si="1"/>
        <v>1</v>
      </c>
      <c r="K36" s="154">
        <f t="shared" si="2"/>
        <v>54881.751244499996</v>
      </c>
      <c r="L36" s="158">
        <f t="shared" si="3"/>
        <v>164219.88462969</v>
      </c>
      <c r="M36" s="147"/>
      <c r="N36" s="153" t="s">
        <v>65</v>
      </c>
      <c r="O36" s="159">
        <v>2606440.6</v>
      </c>
      <c r="P36" s="160">
        <v>7.3142881119882902E-2</v>
      </c>
      <c r="Q36" s="158">
        <f>IF(Calculation_ITS!L36=0,O36*P36,0)</f>
        <v>0</v>
      </c>
      <c r="R36" s="150"/>
      <c r="S36" s="161">
        <f>Calculation_ITS!L36+Q36</f>
        <v>164219.88462969</v>
      </c>
    </row>
    <row r="37" spans="1:19" ht="15.75" customHeight="1">
      <c r="A37" s="164" t="s">
        <v>66</v>
      </c>
      <c r="B37" s="165">
        <f>(Gross_wages!B34*B$11)/1000</f>
        <v>543355.54939964996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1193163.6542058766</v>
      </c>
      <c r="G37" s="165">
        <f>(Gross_wages!G34*G$11)/1000</f>
        <v>0</v>
      </c>
      <c r="H37" s="167">
        <f>(Gross_wages!H34*H$11)/1000</f>
        <v>0</v>
      </c>
      <c r="I37" s="165">
        <f t="shared" si="0"/>
        <v>1193163.6542058766</v>
      </c>
      <c r="J37" s="168">
        <f t="shared" si="1"/>
        <v>1</v>
      </c>
      <c r="K37" s="165">
        <f t="shared" si="2"/>
        <v>1193163.6542058766</v>
      </c>
      <c r="L37" s="169">
        <f t="shared" si="3"/>
        <v>1736519.2036055266</v>
      </c>
      <c r="M37" s="147"/>
      <c r="N37" s="164" t="s">
        <v>66</v>
      </c>
      <c r="O37" s="170">
        <v>10066139.699999999</v>
      </c>
      <c r="P37" s="171">
        <v>0.18128192756348199</v>
      </c>
      <c r="Q37" s="169">
        <f>IF(Calculation_ITS!L37=0,O37*P37,0)</f>
        <v>0</v>
      </c>
      <c r="R37" s="150"/>
      <c r="S37" s="172">
        <f>Calculation_ITS!L37+Q37</f>
        <v>1736519.2036055266</v>
      </c>
    </row>
    <row r="38" spans="1:19" ht="15.75" customHeight="1">
      <c r="A38" s="173" t="s">
        <v>67</v>
      </c>
      <c r="B38" s="174">
        <f>(Gross_wages!B35*B$11)/1000</f>
        <v>20660.874077999997</v>
      </c>
      <c r="C38" s="174">
        <f>(Gross_wages!C35*C$11)/1000</f>
        <v>1688.9035240000001</v>
      </c>
      <c r="D38" s="175">
        <f>(Gross_wages!D35*D$11)/1000</f>
        <v>0</v>
      </c>
      <c r="E38" s="174">
        <f>(Gross_wages!E35*E$11)/1000</f>
        <v>94.797449999999998</v>
      </c>
      <c r="F38" s="174">
        <f>(Gross_wages!F35*F$11)/1000</f>
        <v>0</v>
      </c>
      <c r="G38" s="174">
        <f>(Gross_wages!G35*G$11)/1000</f>
        <v>37371.542999999998</v>
      </c>
      <c r="H38" s="176">
        <f>(Gross_wages!H35*H$11)/1000</f>
        <v>0</v>
      </c>
      <c r="I38" s="174">
        <f t="shared" si="0"/>
        <v>39155.243973999997</v>
      </c>
      <c r="J38" s="177">
        <f t="shared" si="1"/>
        <v>1</v>
      </c>
      <c r="K38" s="174">
        <f t="shared" si="2"/>
        <v>39155.243973999997</v>
      </c>
      <c r="L38" s="178">
        <f t="shared" si="3"/>
        <v>59816.118051999991</v>
      </c>
      <c r="M38" s="147"/>
      <c r="N38" s="173" t="s">
        <v>67</v>
      </c>
      <c r="O38" s="179">
        <v>828741.6</v>
      </c>
      <c r="P38" s="180">
        <v>8.1217624816823097E-2</v>
      </c>
      <c r="Q38" s="178">
        <f>IF(Calculation_ITS!L38=0,O38*P38,0)</f>
        <v>0</v>
      </c>
      <c r="R38" s="150"/>
      <c r="S38" s="181">
        <f>Calculation_ITS!L38+Q38</f>
        <v>59816.118051999991</v>
      </c>
    </row>
    <row r="39" spans="1:19" ht="15.75" customHeight="1">
      <c r="A39" s="182" t="s">
        <v>68</v>
      </c>
      <c r="B39" s="183">
        <f t="shared" ref="B39:I39" si="4">SUM(B13:B38)</f>
        <v>4596262.8369122492</v>
      </c>
      <c r="C39" s="183">
        <f t="shared" si="4"/>
        <v>137162.92599339999</v>
      </c>
      <c r="D39" s="184">
        <f t="shared" si="4"/>
        <v>42726.893234999989</v>
      </c>
      <c r="E39" s="183">
        <f t="shared" si="4"/>
        <v>316035.30635999999</v>
      </c>
      <c r="F39" s="183">
        <f t="shared" si="4"/>
        <v>1193163.6542058766</v>
      </c>
      <c r="G39" s="183">
        <f t="shared" si="4"/>
        <v>563063.91449999996</v>
      </c>
      <c r="H39" s="185">
        <f t="shared" si="4"/>
        <v>438793.31059267576</v>
      </c>
      <c r="I39" s="183">
        <f t="shared" si="4"/>
        <v>2690946.0048869527</v>
      </c>
      <c r="J39" s="186">
        <v>1</v>
      </c>
      <c r="K39" s="183">
        <f t="shared" si="2"/>
        <v>2690946.0048869527</v>
      </c>
      <c r="L39" s="187">
        <f t="shared" si="3"/>
        <v>7287208.8417992014</v>
      </c>
      <c r="M39" s="147"/>
      <c r="N39" s="182" t="s">
        <v>68</v>
      </c>
      <c r="O39" s="188">
        <f>SUM(O13:O38)</f>
        <v>135464442.79999995</v>
      </c>
      <c r="P39" s="189"/>
      <c r="Q39" s="187">
        <f>SUM(Q13:Q38)</f>
        <v>635958.40944523935</v>
      </c>
      <c r="R39" s="150"/>
      <c r="S39" s="190">
        <f>SUM(S13:S38)</f>
        <v>7923167.2512444407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2012-05-21T07:17:43Z</dcterms:modified>
</cp:coreProperties>
</file>