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"/>
    </mc:Choice>
  </mc:AlternateContent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V14" i="4"/>
  <c r="G11" i="4" s="1"/>
  <c r="J14" i="4"/>
  <c r="J13" i="4"/>
  <c r="U11" i="4"/>
  <c r="O11" i="4"/>
  <c r="E11" i="4"/>
  <c r="U10" i="4"/>
  <c r="V9" i="4"/>
  <c r="O8" i="4"/>
  <c r="D7" i="4"/>
  <c r="A4" i="4"/>
  <c r="L3" i="4"/>
  <c r="A1" i="4"/>
  <c r="C7" i="3"/>
  <c r="C6" i="3"/>
  <c r="B6" i="3"/>
  <c r="C3" i="3"/>
  <c r="A2" i="3"/>
  <c r="A1" i="3"/>
  <c r="J36" i="2"/>
  <c r="H36" i="2"/>
  <c r="G36" i="2"/>
  <c r="F36" i="2"/>
  <c r="E36" i="2"/>
  <c r="D36" i="2"/>
  <c r="C36" i="2"/>
  <c r="B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I36" i="2" s="1"/>
  <c r="J2" i="2"/>
  <c r="A2" i="2"/>
  <c r="A1" i="2"/>
  <c r="A5" i="1"/>
  <c r="A2" i="4" s="1"/>
  <c r="A4" i="1"/>
  <c r="G37" i="4" l="1"/>
  <c r="G35" i="4"/>
  <c r="G33" i="4"/>
  <c r="G31" i="4"/>
  <c r="G29" i="4"/>
  <c r="G27" i="4"/>
  <c r="G38" i="4"/>
  <c r="G36" i="4"/>
  <c r="G34" i="4"/>
  <c r="G32" i="4"/>
  <c r="G30" i="4"/>
  <c r="G28" i="4"/>
  <c r="G26" i="4"/>
  <c r="G24" i="4"/>
  <c r="G22" i="4"/>
  <c r="G20" i="4"/>
  <c r="G18" i="4"/>
  <c r="G16" i="4"/>
  <c r="G13" i="4"/>
  <c r="G25" i="4"/>
  <c r="G23" i="4"/>
  <c r="G21" i="4"/>
  <c r="G19" i="4"/>
  <c r="G17" i="4"/>
  <c r="G15" i="4"/>
  <c r="G14" i="4"/>
  <c r="H11" i="4"/>
  <c r="F11" i="4"/>
  <c r="D11" i="4"/>
  <c r="B11" i="4"/>
  <c r="E37" i="4"/>
  <c r="E35" i="4"/>
  <c r="E33" i="4"/>
  <c r="E31" i="4"/>
  <c r="E29" i="4"/>
  <c r="E27" i="4"/>
  <c r="E24" i="4"/>
  <c r="E22" i="4"/>
  <c r="E20" i="4"/>
  <c r="E18" i="4"/>
  <c r="E16" i="4"/>
  <c r="E13" i="4"/>
  <c r="E38" i="4"/>
  <c r="E36" i="4"/>
  <c r="E34" i="4"/>
  <c r="E32" i="4"/>
  <c r="E30" i="4"/>
  <c r="E28" i="4"/>
  <c r="E26" i="4"/>
  <c r="E14" i="4"/>
  <c r="E15" i="4"/>
  <c r="E17" i="4"/>
  <c r="E19" i="4"/>
  <c r="E21" i="4"/>
  <c r="E23" i="4"/>
  <c r="E25" i="4"/>
  <c r="C11" i="4"/>
  <c r="E39" i="4" l="1"/>
  <c r="B38" i="4"/>
  <c r="B36" i="4"/>
  <c r="B34" i="4"/>
  <c r="B32" i="4"/>
  <c r="B30" i="4"/>
  <c r="B28" i="4"/>
  <c r="B26" i="4"/>
  <c r="B25" i="4"/>
  <c r="B23" i="4"/>
  <c r="B21" i="4"/>
  <c r="B19" i="4"/>
  <c r="B17" i="4"/>
  <c r="B15" i="4"/>
  <c r="B14" i="4"/>
  <c r="B37" i="4"/>
  <c r="B35" i="4"/>
  <c r="B33" i="4"/>
  <c r="B31" i="4"/>
  <c r="B29" i="4"/>
  <c r="B27" i="4"/>
  <c r="B24" i="4"/>
  <c r="B22" i="4"/>
  <c r="B20" i="4"/>
  <c r="B18" i="4"/>
  <c r="B16" i="4"/>
  <c r="B13" i="4"/>
  <c r="B39" i="4" s="1"/>
  <c r="F38" i="4"/>
  <c r="F36" i="4"/>
  <c r="F34" i="4"/>
  <c r="F32" i="4"/>
  <c r="F30" i="4"/>
  <c r="F28" i="4"/>
  <c r="F26" i="4"/>
  <c r="F25" i="4"/>
  <c r="F23" i="4"/>
  <c r="F21" i="4"/>
  <c r="F19" i="4"/>
  <c r="F17" i="4"/>
  <c r="F15" i="4"/>
  <c r="F14" i="4"/>
  <c r="F37" i="4"/>
  <c r="F35" i="4"/>
  <c r="F33" i="4"/>
  <c r="F31" i="4"/>
  <c r="F29" i="4"/>
  <c r="F27" i="4"/>
  <c r="F24" i="4"/>
  <c r="F22" i="4"/>
  <c r="F20" i="4"/>
  <c r="F18" i="4"/>
  <c r="F16" i="4"/>
  <c r="F13" i="4"/>
  <c r="F39" i="4" s="1"/>
  <c r="C37" i="4"/>
  <c r="C35" i="4"/>
  <c r="C33" i="4"/>
  <c r="C31" i="4"/>
  <c r="C29" i="4"/>
  <c r="C27" i="4"/>
  <c r="C38" i="4"/>
  <c r="C36" i="4"/>
  <c r="C34" i="4"/>
  <c r="C32" i="4"/>
  <c r="C30" i="4"/>
  <c r="C28" i="4"/>
  <c r="C26" i="4"/>
  <c r="C24" i="4"/>
  <c r="C22" i="4"/>
  <c r="C20" i="4"/>
  <c r="C18" i="4"/>
  <c r="C16" i="4"/>
  <c r="C13" i="4"/>
  <c r="C25" i="4"/>
  <c r="C23" i="4"/>
  <c r="C21" i="4"/>
  <c r="C19" i="4"/>
  <c r="C17" i="4"/>
  <c r="C15" i="4"/>
  <c r="C14" i="4"/>
  <c r="D38" i="4"/>
  <c r="D36" i="4"/>
  <c r="D34" i="4"/>
  <c r="D32" i="4"/>
  <c r="D30" i="4"/>
  <c r="D28" i="4"/>
  <c r="D26" i="4"/>
  <c r="D37" i="4"/>
  <c r="D35" i="4"/>
  <c r="D33" i="4"/>
  <c r="D31" i="4"/>
  <c r="D29" i="4"/>
  <c r="D27" i="4"/>
  <c r="D25" i="4"/>
  <c r="D23" i="4"/>
  <c r="D21" i="4"/>
  <c r="D19" i="4"/>
  <c r="D17" i="4"/>
  <c r="D15" i="4"/>
  <c r="D14" i="4"/>
  <c r="D24" i="4"/>
  <c r="D22" i="4"/>
  <c r="D20" i="4"/>
  <c r="D18" i="4"/>
  <c r="D16" i="4"/>
  <c r="D13" i="4"/>
  <c r="D39" i="4" s="1"/>
  <c r="H38" i="4"/>
  <c r="H36" i="4"/>
  <c r="H34" i="4"/>
  <c r="H32" i="4"/>
  <c r="H30" i="4"/>
  <c r="H28" i="4"/>
  <c r="H26" i="4"/>
  <c r="H37" i="4"/>
  <c r="H35" i="4"/>
  <c r="H33" i="4"/>
  <c r="H31" i="4"/>
  <c r="H29" i="4"/>
  <c r="H27" i="4"/>
  <c r="H25" i="4"/>
  <c r="H23" i="4"/>
  <c r="H21" i="4"/>
  <c r="H19" i="4"/>
  <c r="H17" i="4"/>
  <c r="H15" i="4"/>
  <c r="H14" i="4"/>
  <c r="H24" i="4"/>
  <c r="H22" i="4"/>
  <c r="H20" i="4"/>
  <c r="H18" i="4"/>
  <c r="H16" i="4"/>
  <c r="H13" i="4"/>
  <c r="H39" i="4" s="1"/>
  <c r="G39" i="4"/>
  <c r="I15" i="4" l="1"/>
  <c r="K15" i="4" s="1"/>
  <c r="L15" i="4" s="1"/>
  <c r="I19" i="4"/>
  <c r="K19" i="4" s="1"/>
  <c r="L19" i="4" s="1"/>
  <c r="I23" i="4"/>
  <c r="K23" i="4" s="1"/>
  <c r="L23" i="4" s="1"/>
  <c r="C39" i="4"/>
  <c r="I13" i="4"/>
  <c r="I18" i="4"/>
  <c r="K18" i="4" s="1"/>
  <c r="L18" i="4" s="1"/>
  <c r="I22" i="4"/>
  <c r="K22" i="4" s="1"/>
  <c r="L22" i="4" s="1"/>
  <c r="I26" i="4"/>
  <c r="K26" i="4" s="1"/>
  <c r="L26" i="4" s="1"/>
  <c r="I30" i="4"/>
  <c r="K30" i="4" s="1"/>
  <c r="L30" i="4" s="1"/>
  <c r="I34" i="4"/>
  <c r="K34" i="4" s="1"/>
  <c r="L34" i="4" s="1"/>
  <c r="I38" i="4"/>
  <c r="K38" i="4" s="1"/>
  <c r="L38" i="4" s="1"/>
  <c r="I29" i="4"/>
  <c r="K29" i="4" s="1"/>
  <c r="L29" i="4" s="1"/>
  <c r="I33" i="4"/>
  <c r="K33" i="4" s="1"/>
  <c r="L33" i="4" s="1"/>
  <c r="I37" i="4"/>
  <c r="K37" i="4" s="1"/>
  <c r="L37" i="4" s="1"/>
  <c r="I14" i="4"/>
  <c r="K14" i="4" s="1"/>
  <c r="L14" i="4" s="1"/>
  <c r="I17" i="4"/>
  <c r="K17" i="4" s="1"/>
  <c r="L17" i="4" s="1"/>
  <c r="I21" i="4"/>
  <c r="K21" i="4" s="1"/>
  <c r="L21" i="4" s="1"/>
  <c r="I25" i="4"/>
  <c r="K25" i="4" s="1"/>
  <c r="L25" i="4" s="1"/>
  <c r="I16" i="4"/>
  <c r="K16" i="4" s="1"/>
  <c r="L16" i="4" s="1"/>
  <c r="I20" i="4"/>
  <c r="K20" i="4" s="1"/>
  <c r="L20" i="4" s="1"/>
  <c r="I24" i="4"/>
  <c r="K24" i="4" s="1"/>
  <c r="L24" i="4" s="1"/>
  <c r="I28" i="4"/>
  <c r="K28" i="4" s="1"/>
  <c r="L28" i="4" s="1"/>
  <c r="I32" i="4"/>
  <c r="K32" i="4" s="1"/>
  <c r="L32" i="4" s="1"/>
  <c r="I36" i="4"/>
  <c r="K36" i="4" s="1"/>
  <c r="L36" i="4" s="1"/>
  <c r="I27" i="4"/>
  <c r="K27" i="4" s="1"/>
  <c r="L27" i="4" s="1"/>
  <c r="I31" i="4"/>
  <c r="K31" i="4" s="1"/>
  <c r="L31" i="4" s="1"/>
  <c r="I35" i="4"/>
  <c r="K35" i="4" s="1"/>
  <c r="L35" i="4" s="1"/>
  <c r="Q35" i="4" l="1"/>
  <c r="S35" i="4" s="1"/>
  <c r="Q31" i="4"/>
  <c r="S31" i="4" s="1"/>
  <c r="S36" i="4"/>
  <c r="Q36" i="4"/>
  <c r="S28" i="4"/>
  <c r="Q28" i="4"/>
  <c r="Q20" i="4"/>
  <c r="S20" i="4" s="1"/>
  <c r="Q25" i="4"/>
  <c r="S25" i="4" s="1"/>
  <c r="S17" i="4"/>
  <c r="Q17" i="4"/>
  <c r="Q37" i="4"/>
  <c r="S37" i="4" s="1"/>
  <c r="Q29" i="4"/>
  <c r="S29" i="4" s="1"/>
  <c r="S34" i="4"/>
  <c r="Q34" i="4"/>
  <c r="S26" i="4"/>
  <c r="Q26" i="4"/>
  <c r="Q18" i="4"/>
  <c r="S18" i="4" s="1"/>
  <c r="S19" i="4"/>
  <c r="Q19" i="4"/>
  <c r="Q27" i="4"/>
  <c r="S27" i="4" s="1"/>
  <c r="S32" i="4"/>
  <c r="Q32" i="4"/>
  <c r="Q24" i="4"/>
  <c r="S24" i="4" s="1"/>
  <c r="Q16" i="4"/>
  <c r="S16" i="4" s="1"/>
  <c r="S21" i="4"/>
  <c r="Q21" i="4"/>
  <c r="S14" i="4"/>
  <c r="Q14" i="4"/>
  <c r="Q33" i="4"/>
  <c r="S33" i="4" s="1"/>
  <c r="S38" i="4"/>
  <c r="Q38" i="4"/>
  <c r="S30" i="4"/>
  <c r="Q30" i="4"/>
  <c r="Q22" i="4"/>
  <c r="S22" i="4" s="1"/>
  <c r="I39" i="4"/>
  <c r="K39" i="4" s="1"/>
  <c r="L39" i="4" s="1"/>
  <c r="K13" i="4"/>
  <c r="L13" i="4" s="1"/>
  <c r="S23" i="4"/>
  <c r="Q23" i="4"/>
  <c r="S15" i="4"/>
  <c r="Q15" i="4"/>
  <c r="Q13" i="4" l="1"/>
  <c r="Q39" i="4" s="1"/>
  <c r="S13" i="4" l="1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<sst xmlns="http://schemas.openxmlformats.org/spreadsheetml/2006/main" count="217" uniqueCount="105">
  <si>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</si>
  <si>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</si>
  <si>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</si>
  <si>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</si>
  <si>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</si>
  <si>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Berechnung</t>
  </si>
  <si>
    <t>WS</t>
  </si>
  <si>
    <t>FA_2016_20150609</t>
  </si>
  <si>
    <t>SWS</t>
  </si>
  <si>
    <t>RA_2016_20150609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</si>
  <si>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</si>
  <si>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</si>
  <si>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</si>
  <si>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</si>
  <si>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</si>
  <si>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</si>
  <si>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</si>
  <si>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</si>
  <si>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</si>
  <si>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</si>
  <si>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</si>
  <si>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</si>
  <si>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</si>
  <si>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</si>
  <si>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</si>
  <si>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</si>
  <si>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</si>
  <si>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</si>
  <si>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</si>
  <si>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</si>
  <si>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</si>
  <si>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</si>
  <si>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</si>
  <si>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</si>
  <si>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</si>
  <si>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</si>
  <si>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</si>
  <si>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</si>
  <si>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</si>
  <si>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</si>
  <si>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</si>
  <si>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</si>
  <si>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</si>
  <si>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</si>
  <si>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</si>
  <si>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</si>
  <si>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</si>
  <si>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</si>
  <si>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</si>
  <si>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</si>
  <si>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</si>
  <si>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</si>
  <si>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</si>
  <si>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</si>
  <si>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</si>
  <si>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</si>
  <si>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</si>
  <si>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</si>
  <si>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</si>
  <si>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</si>
  <si>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</si>
  <si>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</si>
  <si>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</si>
  <si>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</si>
  <si>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</si>
  <si>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</si>
  <si>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</si>
  <si>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</si>
  <si>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</si>
  <si>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</si>
  <si>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</si>
  <si>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</si>
  <si>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</si>
  <si>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</si>
  <si>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</si>
  <si>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</si>
  <si>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</si>
  <si>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</si>
  <si>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</si>
  <si>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</si>
  <si>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</si>
  <si>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</si>
  <si>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</si>
  <si>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</si>
  <si>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</si>
  <si>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</si>
  <si>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</si>
  <si>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</si>
  <si>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</si>
  <si>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</si>
  <si>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</si>
  <si>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</si>
  <si>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</si>
  <si>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</si>
  <si>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</si>
  <si>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massgebenden quellenbesteuerten Einkommen und massgebenden Einkommen =&gt; obere Grenze 95%-Vertrauensintervall</t>
  </si>
  <si>
    <t>Ergebnis auf der Basis der geschätzten Daten</t>
  </si>
  <si>
    <t>Massgebende quellenbesteuerte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</si>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</sst>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6" fontId="17" fillId="0" borderId="15" xfId="0" applyNumberFormat="1" applyFont="1" applyFill="1" applyBorder="1" applyAlignment="1" applyProtection="1">
      <alignment horizontal="right"/>
      <protection locked="0"/>
    </xf>
    <xf numFmtId="166" fontId="17" fillId="0" borderId="16" xfId="0" applyNumberFormat="1" applyFont="1" applyFill="1" applyBorder="1" applyAlignment="1" applyProtection="1">
      <alignment horizontal="right"/>
      <protection locked="0"/>
    </xf>
    <xf numFmtId="166" fontId="17" fillId="0" borderId="13" xfId="0" applyNumberFormat="1" applyFont="1" applyFill="1" applyBorder="1" applyAlignment="1" applyProtection="1">
      <alignment horizontal="right"/>
      <protection locked="0"/>
    </xf>
    <xf numFmtId="166" fontId="17" fillId="0" borderId="0" xfId="0" applyNumberFormat="1" applyFont="1" applyFill="1" applyBorder="1" applyAlignment="1" applyProtection="1">
      <alignment horizontal="right"/>
      <protection locked="0"/>
    </xf>
    <xf numFmtId="166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6" fontId="17" fillId="2" borderId="0" xfId="0" applyNumberFormat="1" applyFont="1" applyFill="1" applyBorder="1" applyAlignment="1" applyProtection="1">
      <alignment horizontal="right"/>
      <protection locked="0"/>
    </xf>
    <xf numFmtId="166" fontId="17" fillId="2" borderId="14" xfId="0" applyNumberFormat="1" applyFont="1" applyFill="1" applyBorder="1" applyAlignment="1" applyProtection="1">
      <alignment horizontal="right"/>
      <protection locked="0"/>
    </xf>
    <xf numFmtId="166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6" fontId="17" fillId="2" borderId="8" xfId="0" applyNumberFormat="1" applyFont="1" applyFill="1" applyBorder="1" applyAlignment="1" applyProtection="1">
      <alignment horizontal="right"/>
      <protection locked="0"/>
    </xf>
    <xf numFmtId="166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7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8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7" fontId="20" fillId="0" borderId="9" xfId="0" applyNumberFormat="1" applyFont="1" applyFill="1" applyBorder="1"/>
    <xf numFmtId="0" fontId="0" fillId="0" borderId="9" xfId="0" applyFont="1" applyFill="1" applyBorder="1"/>
    <xf numFmtId="167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6" fontId="18" fillId="0" borderId="15" xfId="0" applyNumberFormat="1" applyFont="1" applyFill="1" applyBorder="1" applyProtection="1">
      <protection locked="0"/>
    </xf>
    <xf numFmtId="167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18" fillId="2" borderId="0" xfId="0" applyNumberFormat="1" applyFont="1" applyFill="1" applyBorder="1" applyProtection="1">
      <protection locked="0"/>
    </xf>
    <xf numFmtId="167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18" fillId="0" borderId="0" xfId="0" applyNumberFormat="1" applyFont="1" applyFill="1" applyBorder="1" applyProtection="1">
      <protection locked="0"/>
    </xf>
    <xf numFmtId="167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6" fontId="18" fillId="2" borderId="8" xfId="0" applyNumberFormat="1" applyFont="1" applyFill="1" applyBorder="1" applyProtection="1">
      <protection locked="0"/>
    </xf>
    <xf numFmtId="167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41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sqref="A1:D1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0" t="s">
        <v>0</v>
      </c>
      <c r="B1" s="190"/>
      <c r="C1" s="190"/>
      <c r="D1" s="190"/>
      <c r="E1" s="2"/>
    </row>
    <row r="2" spans="1:5" ht="27.75" customHeight="1" x14ac:dyDescent="0.4">
      <c r="A2" s="190" t="s">
        <v>1</v>
      </c>
      <c r="B2" s="190"/>
      <c r="C2" s="190"/>
      <c r="D2" s="190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1" t="str">
        <f>"Bemessungsjahr "&amp;C31</f>
        <v>Bemessungsjahr 2011</v>
      </c>
      <c r="B4" s="191"/>
      <c r="C4" s="191"/>
      <c r="D4" s="191"/>
      <c r="E4" s="4"/>
    </row>
    <row r="5" spans="1:5" ht="18" customHeight="1" x14ac:dyDescent="0.25">
      <c r="A5" s="191" t="str">
        <f>"Referenzjahr "&amp;C30</f>
        <v>Referenzjahr 2016</v>
      </c>
      <c r="B5" s="191"/>
      <c r="C5" s="191"/>
      <c r="D5" s="191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2</v>
      </c>
    </row>
    <row r="27" spans="2:3" x14ac:dyDescent="0.2">
      <c r="B27" s="7" t="s">
        <v>4</v>
      </c>
      <c r="C27" s="9" t="s">
        <v>5</v>
      </c>
    </row>
    <row r="28" spans="2:3" x14ac:dyDescent="0.2">
      <c r="B28" s="7" t="s">
        <v>6</v>
      </c>
      <c r="C28" s="9" t="s">
        <v>7</v>
      </c>
    </row>
    <row r="29" spans="2:3" x14ac:dyDescent="0.2">
      <c r="B29" s="7" t="s">
        <v>8</v>
      </c>
      <c r="C29" s="9" t="s">
        <v>9</v>
      </c>
    </row>
    <row r="30" spans="2:3" x14ac:dyDescent="0.2">
      <c r="B30" s="7" t="s">
        <v>10</v>
      </c>
      <c r="C30" s="9">
        <v>2016</v>
      </c>
    </row>
    <row r="31" spans="2:3" x14ac:dyDescent="0.2">
      <c r="B31" s="10" t="s">
        <v>11</v>
      </c>
      <c r="C31" s="11">
        <v>2011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7"/>
  <sheetViews>
    <sheetView showGridLines="0" zoomScale="90" workbookViewId="0"/>
  </sheetViews>
  <sheetFormatPr baseColWidth="10" defaultColWidth="11.5546875" defaultRowHeight="15" x14ac:dyDescent="0.2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 x14ac:dyDescent="0.2">
      <c r="A1" s="13" t="str">
        <f>"Bruttoeinkommen "&amp;Info!C31</f>
        <v>Bruttoeinkommen 2011</v>
      </c>
      <c r="B1" s="13"/>
      <c r="C1" s="13"/>
      <c r="J1" s="14"/>
    </row>
    <row r="2" spans="1:10" ht="31.5" customHeight="1" x14ac:dyDescent="0.2">
      <c r="A2" s="15" t="str">
        <f>"Referenzjahr "&amp;Info!C30</f>
        <v>Referenzjahr 2016</v>
      </c>
      <c r="B2" s="16"/>
      <c r="C2" s="16"/>
      <c r="D2" s="17"/>
      <c r="J2" s="18" t="str">
        <f>Info!C28</f>
        <v>FA_2016_20150609</v>
      </c>
    </row>
    <row r="3" spans="1:10" s="19" customFormat="1" ht="12.75" x14ac:dyDescent="0.2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 x14ac:dyDescent="0.2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 x14ac:dyDescent="0.2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 x14ac:dyDescent="0.2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 x14ac:dyDescent="0.2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 x14ac:dyDescent="0.2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 x14ac:dyDescent="0.2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 x14ac:dyDescent="0.2">
      <c r="A10" s="50" t="s">
        <v>45</v>
      </c>
      <c r="B10" s="51">
        <v>4964990717</v>
      </c>
      <c r="C10" s="52">
        <v>62862707</v>
      </c>
      <c r="D10" s="53">
        <v>0</v>
      </c>
      <c r="E10" s="54">
        <v>489096507</v>
      </c>
      <c r="F10" s="54">
        <v>0</v>
      </c>
      <c r="G10" s="54">
        <v>0</v>
      </c>
      <c r="H10" s="55">
        <v>0</v>
      </c>
      <c r="I10" s="56">
        <f t="shared" ref="I10:I35" si="0">SUM(C10:H10)</f>
        <v>551959214</v>
      </c>
      <c r="J10" s="57">
        <f t="shared" ref="J10:J36" si="1">SUM(B10:H10)</f>
        <v>5516949931</v>
      </c>
    </row>
    <row r="11" spans="1:10" x14ac:dyDescent="0.2">
      <c r="A11" s="58" t="s">
        <v>46</v>
      </c>
      <c r="B11" s="59">
        <v>1534247081.6099999</v>
      </c>
      <c r="C11" s="60">
        <v>108259426.72</v>
      </c>
      <c r="D11" s="61">
        <v>82142.05</v>
      </c>
      <c r="E11" s="59">
        <v>15048557.380000001</v>
      </c>
      <c r="F11" s="59">
        <v>0</v>
      </c>
      <c r="G11" s="59">
        <v>119460990.55</v>
      </c>
      <c r="H11" s="60">
        <v>0</v>
      </c>
      <c r="I11" s="62">
        <f t="shared" si="0"/>
        <v>242851116.69999999</v>
      </c>
      <c r="J11" s="63">
        <f t="shared" si="1"/>
        <v>1777098198.3099999</v>
      </c>
    </row>
    <row r="12" spans="1:10" x14ac:dyDescent="0.2">
      <c r="A12" s="64" t="s">
        <v>47</v>
      </c>
      <c r="B12" s="54">
        <v>684400917.90999997</v>
      </c>
      <c r="C12" s="55">
        <v>33992620.100000001</v>
      </c>
      <c r="D12" s="53">
        <v>565337.59999999998</v>
      </c>
      <c r="E12" s="54">
        <v>5777183.3200000003</v>
      </c>
      <c r="F12" s="54">
        <v>0</v>
      </c>
      <c r="G12" s="54">
        <v>0</v>
      </c>
      <c r="H12" s="55">
        <v>0</v>
      </c>
      <c r="I12" s="65">
        <f t="shared" si="0"/>
        <v>40335141.020000003</v>
      </c>
      <c r="J12" s="66">
        <f t="shared" si="1"/>
        <v>724736058.93000007</v>
      </c>
    </row>
    <row r="13" spans="1:10" x14ac:dyDescent="0.2">
      <c r="A13" s="58" t="s">
        <v>48</v>
      </c>
      <c r="B13" s="59">
        <v>75093964</v>
      </c>
      <c r="C13" s="60">
        <v>0</v>
      </c>
      <c r="D13" s="61">
        <v>2754008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2754008</v>
      </c>
      <c r="J13" s="63">
        <f t="shared" si="1"/>
        <v>77847972</v>
      </c>
    </row>
    <row r="14" spans="1:10" x14ac:dyDescent="0.2">
      <c r="A14" s="64" t="s">
        <v>49</v>
      </c>
      <c r="B14" s="54">
        <v>307712334</v>
      </c>
      <c r="C14" s="55">
        <v>53968115</v>
      </c>
      <c r="D14" s="53">
        <v>1300958</v>
      </c>
      <c r="E14" s="54">
        <v>2106932</v>
      </c>
      <c r="F14" s="54">
        <v>0</v>
      </c>
      <c r="G14" s="54">
        <v>0</v>
      </c>
      <c r="H14" s="55">
        <v>0</v>
      </c>
      <c r="I14" s="65">
        <f t="shared" si="0"/>
        <v>57376005</v>
      </c>
      <c r="J14" s="66">
        <f t="shared" si="1"/>
        <v>365088339</v>
      </c>
    </row>
    <row r="15" spans="1:10" x14ac:dyDescent="0.2">
      <c r="A15" s="58" t="s">
        <v>50</v>
      </c>
      <c r="B15" s="59">
        <v>79485411.609999999</v>
      </c>
      <c r="C15" s="60">
        <v>4659719.1100000003</v>
      </c>
      <c r="D15" s="61">
        <v>177150</v>
      </c>
      <c r="E15" s="59">
        <v>267872.23</v>
      </c>
      <c r="F15" s="59">
        <v>0</v>
      </c>
      <c r="G15" s="59">
        <v>0</v>
      </c>
      <c r="H15" s="60">
        <v>0</v>
      </c>
      <c r="I15" s="62">
        <f t="shared" si="0"/>
        <v>5104741.34</v>
      </c>
      <c r="J15" s="63">
        <f t="shared" si="1"/>
        <v>84590152.950000003</v>
      </c>
    </row>
    <row r="16" spans="1:10" x14ac:dyDescent="0.2">
      <c r="A16" s="64" t="s">
        <v>51</v>
      </c>
      <c r="B16" s="54">
        <v>74363685.879999995</v>
      </c>
      <c r="C16" s="55">
        <v>1355923.5</v>
      </c>
      <c r="D16" s="53">
        <v>2593398</v>
      </c>
      <c r="E16" s="54">
        <v>539570.65</v>
      </c>
      <c r="F16" s="54">
        <v>0</v>
      </c>
      <c r="G16" s="54">
        <v>0</v>
      </c>
      <c r="H16" s="55">
        <v>0</v>
      </c>
      <c r="I16" s="65">
        <f t="shared" si="0"/>
        <v>4488892.1500000004</v>
      </c>
      <c r="J16" s="66">
        <f t="shared" si="1"/>
        <v>78852578.030000001</v>
      </c>
    </row>
    <row r="17" spans="1:10" x14ac:dyDescent="0.2">
      <c r="A17" s="58" t="s">
        <v>52</v>
      </c>
      <c r="B17" s="59">
        <v>112560578.55</v>
      </c>
      <c r="C17" s="60">
        <v>560423.85</v>
      </c>
      <c r="D17" s="61">
        <v>9863782.9800000004</v>
      </c>
      <c r="E17" s="59">
        <v>274696.75</v>
      </c>
      <c r="F17" s="59">
        <v>0</v>
      </c>
      <c r="G17" s="59">
        <v>0</v>
      </c>
      <c r="H17" s="60">
        <v>0</v>
      </c>
      <c r="I17" s="62">
        <f t="shared" si="0"/>
        <v>10698903.58</v>
      </c>
      <c r="J17" s="63">
        <f t="shared" si="1"/>
        <v>123259482.13</v>
      </c>
    </row>
    <row r="18" spans="1:10" x14ac:dyDescent="0.2">
      <c r="A18" s="64" t="s">
        <v>53</v>
      </c>
      <c r="B18" s="54">
        <v>655359219</v>
      </c>
      <c r="C18" s="55">
        <v>37784843.509999998</v>
      </c>
      <c r="D18" s="53">
        <v>2677197</v>
      </c>
      <c r="E18" s="54">
        <v>4391134</v>
      </c>
      <c r="F18" s="54">
        <v>0</v>
      </c>
      <c r="G18" s="54">
        <v>0</v>
      </c>
      <c r="H18" s="55">
        <v>0</v>
      </c>
      <c r="I18" s="65">
        <f t="shared" si="0"/>
        <v>44853174.509999998</v>
      </c>
      <c r="J18" s="66">
        <f t="shared" si="1"/>
        <v>700212393.50999999</v>
      </c>
    </row>
    <row r="19" spans="1:10" x14ac:dyDescent="0.2">
      <c r="A19" s="58" t="s">
        <v>54</v>
      </c>
      <c r="B19" s="59">
        <v>598084455</v>
      </c>
      <c r="C19" s="60">
        <v>0</v>
      </c>
      <c r="D19" s="61">
        <v>3342900</v>
      </c>
      <c r="E19" s="59">
        <v>310325</v>
      </c>
      <c r="F19" s="59">
        <v>0</v>
      </c>
      <c r="G19" s="59">
        <v>0</v>
      </c>
      <c r="H19" s="60">
        <v>0</v>
      </c>
      <c r="I19" s="62">
        <f t="shared" si="0"/>
        <v>3653225</v>
      </c>
      <c r="J19" s="63">
        <f t="shared" si="1"/>
        <v>601737680</v>
      </c>
    </row>
    <row r="20" spans="1:10" x14ac:dyDescent="0.2">
      <c r="A20" s="64" t="s">
        <v>55</v>
      </c>
      <c r="B20" s="54">
        <v>376954483.63999999</v>
      </c>
      <c r="C20" s="55">
        <v>15458520.35</v>
      </c>
      <c r="D20" s="53">
        <v>724377.5</v>
      </c>
      <c r="E20" s="54">
        <v>36218528</v>
      </c>
      <c r="F20" s="54">
        <v>0</v>
      </c>
      <c r="G20" s="54">
        <v>82243763.25</v>
      </c>
      <c r="H20" s="55">
        <v>0</v>
      </c>
      <c r="I20" s="65">
        <f t="shared" si="0"/>
        <v>134645189.09999999</v>
      </c>
      <c r="J20" s="66">
        <f t="shared" si="1"/>
        <v>511599672.74000001</v>
      </c>
    </row>
    <row r="21" spans="1:10" x14ac:dyDescent="0.2">
      <c r="A21" s="58" t="s">
        <v>56</v>
      </c>
      <c r="B21" s="59">
        <v>746021652.07000005</v>
      </c>
      <c r="C21" s="60">
        <v>150527506.47</v>
      </c>
      <c r="D21" s="61">
        <v>1335429.75</v>
      </c>
      <c r="E21" s="59">
        <v>1303166699.4000001</v>
      </c>
      <c r="F21" s="59">
        <v>0</v>
      </c>
      <c r="G21" s="59">
        <v>1527656298.1500001</v>
      </c>
      <c r="H21" s="60">
        <v>0</v>
      </c>
      <c r="I21" s="62">
        <f t="shared" si="0"/>
        <v>2982685933.7700005</v>
      </c>
      <c r="J21" s="63">
        <f t="shared" si="1"/>
        <v>3728707585.8400002</v>
      </c>
    </row>
    <row r="22" spans="1:10" x14ac:dyDescent="0.2">
      <c r="A22" s="64" t="s">
        <v>57</v>
      </c>
      <c r="B22" s="54">
        <v>389214719.74000001</v>
      </c>
      <c r="C22" s="55">
        <v>86920277.180000007</v>
      </c>
      <c r="D22" s="53">
        <v>1340941.1000000001</v>
      </c>
      <c r="E22" s="54">
        <v>635103116.95000005</v>
      </c>
      <c r="F22" s="54">
        <v>0</v>
      </c>
      <c r="G22" s="54">
        <v>952496409</v>
      </c>
      <c r="H22" s="55">
        <v>0</v>
      </c>
      <c r="I22" s="65">
        <f t="shared" si="0"/>
        <v>1675860744.23</v>
      </c>
      <c r="J22" s="66">
        <f t="shared" si="1"/>
        <v>2065075463.97</v>
      </c>
    </row>
    <row r="23" spans="1:10" x14ac:dyDescent="0.2">
      <c r="A23" s="58" t="s">
        <v>58</v>
      </c>
      <c r="B23" s="59">
        <v>300731719.89999998</v>
      </c>
      <c r="C23" s="60">
        <v>21980352</v>
      </c>
      <c r="D23" s="61">
        <v>547544.65</v>
      </c>
      <c r="E23" s="59">
        <v>337216070.19999999</v>
      </c>
      <c r="F23" s="59">
        <v>0</v>
      </c>
      <c r="G23" s="59">
        <v>0</v>
      </c>
      <c r="H23" s="60">
        <v>0</v>
      </c>
      <c r="I23" s="62">
        <f t="shared" si="0"/>
        <v>359743966.84999996</v>
      </c>
      <c r="J23" s="63">
        <f t="shared" si="1"/>
        <v>660475686.75</v>
      </c>
    </row>
    <row r="24" spans="1:10" x14ac:dyDescent="0.2">
      <c r="A24" s="64" t="s">
        <v>59</v>
      </c>
      <c r="B24" s="54">
        <v>97771896</v>
      </c>
      <c r="C24" s="55">
        <v>5160053</v>
      </c>
      <c r="D24" s="53">
        <v>12838485</v>
      </c>
      <c r="E24" s="54">
        <v>3966479</v>
      </c>
      <c r="F24" s="54">
        <v>0</v>
      </c>
      <c r="G24" s="54">
        <v>0</v>
      </c>
      <c r="H24" s="55">
        <v>0</v>
      </c>
      <c r="I24" s="65">
        <f t="shared" si="0"/>
        <v>21965017</v>
      </c>
      <c r="J24" s="66">
        <f t="shared" si="1"/>
        <v>119736913</v>
      </c>
    </row>
    <row r="25" spans="1:10" x14ac:dyDescent="0.2">
      <c r="A25" s="58" t="s">
        <v>60</v>
      </c>
      <c r="B25" s="59">
        <v>17972244.210000001</v>
      </c>
      <c r="C25" s="60">
        <v>1707151.39</v>
      </c>
      <c r="D25" s="61">
        <v>3753892.98</v>
      </c>
      <c r="E25" s="59">
        <v>637680.12</v>
      </c>
      <c r="F25" s="59">
        <v>0</v>
      </c>
      <c r="G25" s="59">
        <v>0</v>
      </c>
      <c r="H25" s="60">
        <v>0</v>
      </c>
      <c r="I25" s="62">
        <f t="shared" si="0"/>
        <v>6098724.4900000002</v>
      </c>
      <c r="J25" s="63">
        <f t="shared" si="1"/>
        <v>24070968.700000003</v>
      </c>
    </row>
    <row r="26" spans="1:10" x14ac:dyDescent="0.2">
      <c r="A26" s="64" t="s">
        <v>61</v>
      </c>
      <c r="B26" s="54">
        <v>922874888</v>
      </c>
      <c r="C26" s="55">
        <v>64822618</v>
      </c>
      <c r="D26" s="53">
        <v>462382371</v>
      </c>
      <c r="E26" s="54">
        <v>70388137</v>
      </c>
      <c r="F26" s="54">
        <v>0</v>
      </c>
      <c r="G26" s="54">
        <v>0</v>
      </c>
      <c r="H26" s="55">
        <v>0</v>
      </c>
      <c r="I26" s="65">
        <f t="shared" si="0"/>
        <v>597593126</v>
      </c>
      <c r="J26" s="66">
        <f t="shared" si="1"/>
        <v>1520468014</v>
      </c>
    </row>
    <row r="27" spans="1:10" x14ac:dyDescent="0.2">
      <c r="A27" s="58" t="s">
        <v>62</v>
      </c>
      <c r="B27" s="59">
        <v>811476133</v>
      </c>
      <c r="C27" s="60">
        <v>201433665</v>
      </c>
      <c r="D27" s="61">
        <v>16513572</v>
      </c>
      <c r="E27" s="59">
        <v>0</v>
      </c>
      <c r="F27" s="59">
        <v>0</v>
      </c>
      <c r="G27" s="59">
        <v>0</v>
      </c>
      <c r="H27" s="60">
        <v>57772513</v>
      </c>
      <c r="I27" s="62">
        <f t="shared" si="0"/>
        <v>275719750</v>
      </c>
      <c r="J27" s="63">
        <f t="shared" si="1"/>
        <v>1087195883</v>
      </c>
    </row>
    <row r="28" spans="1:10" x14ac:dyDescent="0.2">
      <c r="A28" s="64" t="s">
        <v>63</v>
      </c>
      <c r="B28" s="54">
        <v>1070752355</v>
      </c>
      <c r="C28" s="55">
        <v>242532262.44999999</v>
      </c>
      <c r="D28" s="53">
        <v>2298654</v>
      </c>
      <c r="E28" s="54">
        <v>796528415.79999995</v>
      </c>
      <c r="F28" s="54">
        <v>0</v>
      </c>
      <c r="G28" s="54">
        <v>0</v>
      </c>
      <c r="H28" s="55">
        <v>0</v>
      </c>
      <c r="I28" s="65">
        <f t="shared" si="0"/>
        <v>1041359332.25</v>
      </c>
      <c r="J28" s="66">
        <f t="shared" si="1"/>
        <v>2112111687.25</v>
      </c>
    </row>
    <row r="29" spans="1:10" x14ac:dyDescent="0.2">
      <c r="A29" s="58" t="s">
        <v>64</v>
      </c>
      <c r="B29" s="59">
        <v>592818775.34000003</v>
      </c>
      <c r="C29" s="60">
        <v>45919372.390000001</v>
      </c>
      <c r="D29" s="61">
        <v>15351178.91</v>
      </c>
      <c r="E29" s="59">
        <v>257932455.68000001</v>
      </c>
      <c r="F29" s="59">
        <v>0</v>
      </c>
      <c r="G29" s="59">
        <v>0</v>
      </c>
      <c r="H29" s="60">
        <v>0</v>
      </c>
      <c r="I29" s="62">
        <f t="shared" si="0"/>
        <v>319203006.98000002</v>
      </c>
      <c r="J29" s="63">
        <f t="shared" si="1"/>
        <v>912021782.31999993</v>
      </c>
    </row>
    <row r="30" spans="1:10" x14ac:dyDescent="0.2">
      <c r="A30" s="64" t="s">
        <v>65</v>
      </c>
      <c r="B30" s="54">
        <v>836742194</v>
      </c>
      <c r="C30" s="55">
        <v>446988002</v>
      </c>
      <c r="D30" s="53">
        <v>13517735</v>
      </c>
      <c r="E30" s="54">
        <v>0</v>
      </c>
      <c r="F30" s="54">
        <v>0</v>
      </c>
      <c r="G30" s="54">
        <v>0</v>
      </c>
      <c r="H30" s="55">
        <v>2564454749</v>
      </c>
      <c r="I30" s="65">
        <f t="shared" si="0"/>
        <v>3024960486</v>
      </c>
      <c r="J30" s="66">
        <f t="shared" si="1"/>
        <v>3861702680</v>
      </c>
    </row>
    <row r="31" spans="1:10" x14ac:dyDescent="0.2">
      <c r="A31" s="58" t="s">
        <v>66</v>
      </c>
      <c r="B31" s="59">
        <v>2727881427</v>
      </c>
      <c r="C31" s="60">
        <v>0</v>
      </c>
      <c r="D31" s="61">
        <v>0</v>
      </c>
      <c r="E31" s="59">
        <v>0</v>
      </c>
      <c r="F31" s="59">
        <v>0</v>
      </c>
      <c r="G31" s="59">
        <v>1750640052</v>
      </c>
      <c r="H31" s="60">
        <v>0</v>
      </c>
      <c r="I31" s="62">
        <f t="shared" si="0"/>
        <v>1750640052</v>
      </c>
      <c r="J31" s="63">
        <f t="shared" si="1"/>
        <v>4478521479</v>
      </c>
    </row>
    <row r="32" spans="1:10" x14ac:dyDescent="0.2">
      <c r="A32" s="64" t="s">
        <v>67</v>
      </c>
      <c r="B32" s="54">
        <v>1013960467</v>
      </c>
      <c r="C32" s="55">
        <v>8901658</v>
      </c>
      <c r="D32" s="53">
        <v>0</v>
      </c>
      <c r="E32" s="54">
        <v>271559</v>
      </c>
      <c r="F32" s="54">
        <v>0</v>
      </c>
      <c r="G32" s="54">
        <v>83246829</v>
      </c>
      <c r="H32" s="55">
        <v>54556329</v>
      </c>
      <c r="I32" s="65">
        <f t="shared" si="0"/>
        <v>146976375</v>
      </c>
      <c r="J32" s="66">
        <f t="shared" si="1"/>
        <v>1160936842</v>
      </c>
    </row>
    <row r="33" spans="1:10" x14ac:dyDescent="0.2">
      <c r="A33" s="58" t="s">
        <v>68</v>
      </c>
      <c r="B33" s="59">
        <v>338001722</v>
      </c>
      <c r="C33" s="60">
        <v>16369532</v>
      </c>
      <c r="D33" s="61">
        <v>37230</v>
      </c>
      <c r="E33" s="59">
        <v>71509</v>
      </c>
      <c r="F33" s="59">
        <v>0</v>
      </c>
      <c r="G33" s="59">
        <v>820450462</v>
      </c>
      <c r="H33" s="60">
        <v>0</v>
      </c>
      <c r="I33" s="62">
        <f t="shared" si="0"/>
        <v>836928733</v>
      </c>
      <c r="J33" s="63">
        <f t="shared" si="1"/>
        <v>1174930455</v>
      </c>
    </row>
    <row r="34" spans="1:10" x14ac:dyDescent="0.2">
      <c r="A34" s="64" t="s">
        <v>69</v>
      </c>
      <c r="B34" s="54">
        <v>2665501985</v>
      </c>
      <c r="C34" s="55">
        <v>342324696</v>
      </c>
      <c r="D34" s="53">
        <v>1348863</v>
      </c>
      <c r="E34" s="54">
        <v>0</v>
      </c>
      <c r="F34" s="54">
        <v>7319068553</v>
      </c>
      <c r="G34" s="54">
        <v>0</v>
      </c>
      <c r="H34" s="55">
        <v>0</v>
      </c>
      <c r="I34" s="65">
        <f t="shared" si="0"/>
        <v>7662742112</v>
      </c>
      <c r="J34" s="66">
        <f t="shared" si="1"/>
        <v>10328244097</v>
      </c>
    </row>
    <row r="35" spans="1:10" x14ac:dyDescent="0.2">
      <c r="A35" s="67" t="s">
        <v>70</v>
      </c>
      <c r="B35" s="68">
        <v>74162967</v>
      </c>
      <c r="C35" s="69">
        <v>6326213.21</v>
      </c>
      <c r="D35" s="61">
        <v>0</v>
      </c>
      <c r="E35" s="59">
        <v>461457</v>
      </c>
      <c r="F35" s="59">
        <v>0</v>
      </c>
      <c r="G35" s="59">
        <v>423190469</v>
      </c>
      <c r="H35" s="60">
        <v>0</v>
      </c>
      <c r="I35" s="62">
        <f t="shared" si="0"/>
        <v>429978139.20999998</v>
      </c>
      <c r="J35" s="63">
        <f t="shared" si="1"/>
        <v>504141106.20999998</v>
      </c>
    </row>
    <row r="36" spans="1:10" x14ac:dyDescent="0.2">
      <c r="A36" s="5" t="s">
        <v>71</v>
      </c>
      <c r="B36" s="70">
        <f t="shared" ref="B36:I36" si="2">SUM(B10:B35)</f>
        <v>22069137993.459999</v>
      </c>
      <c r="C36" s="71">
        <f t="shared" si="2"/>
        <v>1960815658.23</v>
      </c>
      <c r="D36" s="72">
        <f t="shared" si="2"/>
        <v>555347148.51999998</v>
      </c>
      <c r="E36" s="70">
        <f t="shared" si="2"/>
        <v>3959774885.48</v>
      </c>
      <c r="F36" s="70">
        <f t="shared" si="2"/>
        <v>7319068553</v>
      </c>
      <c r="G36" s="70">
        <f t="shared" si="2"/>
        <v>5759385272.9499998</v>
      </c>
      <c r="H36" s="71">
        <f t="shared" si="2"/>
        <v>2676783591</v>
      </c>
      <c r="I36" s="72">
        <f t="shared" si="2"/>
        <v>22231175109.18</v>
      </c>
      <c r="J36" s="73">
        <f t="shared" si="1"/>
        <v>44300313102.639999</v>
      </c>
    </row>
    <row r="37" spans="1:10" x14ac:dyDescent="0.2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"Berechnung Gamma "&amp;Info!C31</f>
        <v>Berechnung Gamma 2011</v>
      </c>
    </row>
    <row r="2" spans="1:4" ht="15.75" customHeight="1" x14ac:dyDescent="0.2">
      <c r="A2" s="75" t="str">
        <f>Bruttoeink!A2</f>
        <v>Referenzjahr 2016</v>
      </c>
    </row>
    <row r="3" spans="1:4" ht="33" customHeight="1" x14ac:dyDescent="0.2">
      <c r="C3" s="76" t="str">
        <f>Info!$C$28</f>
        <v>FA_2016_20150609</v>
      </c>
    </row>
    <row r="4" spans="1:4" ht="15.75" customHeight="1" x14ac:dyDescent="0.25">
      <c r="B4" s="77" t="s">
        <v>72</v>
      </c>
      <c r="C4" s="78" t="s">
        <v>73</v>
      </c>
      <c r="D4" s="79"/>
    </row>
    <row r="5" spans="1:4" x14ac:dyDescent="0.2">
      <c r="A5" s="74" t="s">
        <v>74</v>
      </c>
      <c r="B5" s="80" t="s">
        <v>75</v>
      </c>
      <c r="C5" s="81">
        <v>450004450.66710699</v>
      </c>
      <c r="D5" s="82"/>
    </row>
    <row r="6" spans="1:4" x14ac:dyDescent="0.2">
      <c r="A6" s="83" t="s">
        <v>76</v>
      </c>
      <c r="B6" s="84" t="str">
        <f>"ASG_"&amp;Info!C30&amp;"_"&amp;Info!C31&amp;".xlsx"</f>
        <v>ASG_2016_2011.xlsx</v>
      </c>
      <c r="C6" s="85">
        <f>Berechnung_QS!O39</f>
        <v>164431392.30000001</v>
      </c>
      <c r="D6" s="82"/>
    </row>
    <row r="7" spans="1:4" ht="24.75" customHeight="1" x14ac:dyDescent="0.25">
      <c r="A7" s="86" t="s">
        <v>77</v>
      </c>
      <c r="B7" s="86"/>
      <c r="C7" s="87">
        <f>ROUND(C6/C5,3)</f>
        <v>0.36499999999999999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3" t="str">
        <f>"Massgebende quellenbesteuerte Einkommen (QS) "&amp;Info!C31</f>
        <v>Massgebende quellenbesteuerte Einkommen (QS) 2011</v>
      </c>
      <c r="B1" s="13"/>
      <c r="C1" s="13"/>
      <c r="D1" s="13"/>
      <c r="E1" s="13"/>
      <c r="F1" s="13"/>
      <c r="H1" s="14"/>
      <c r="R1" s="12"/>
    </row>
    <row r="2" spans="1:22" ht="18.75" customHeight="1" x14ac:dyDescent="0.25">
      <c r="A2" s="89" t="str">
        <f>Info!A5</f>
        <v>Referenzjahr 2016</v>
      </c>
      <c r="B2" s="90"/>
      <c r="H2" s="88"/>
      <c r="R2" s="12"/>
    </row>
    <row r="3" spans="1:22" ht="18.75" customHeight="1" x14ac:dyDescent="0.25">
      <c r="A3" s="91"/>
      <c r="B3" s="90"/>
      <c r="H3" s="88"/>
      <c r="L3" s="92" t="str">
        <f>Info!C28</f>
        <v>FA_2016_20150609</v>
      </c>
      <c r="R3" s="12"/>
    </row>
    <row r="4" spans="1:22" ht="37.5" customHeight="1" x14ac:dyDescent="0.2">
      <c r="A4" s="218" t="str">
        <f>"Berechnung von QS auf der Basis der Bruttolöhne "&amp;Info!C31</f>
        <v>Berechnung von QS auf der Basis der Bruttolöhne 2011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0"/>
      <c r="N4" s="221" t="s">
        <v>78</v>
      </c>
      <c r="O4" s="222"/>
      <c r="P4" s="222"/>
      <c r="Q4" s="223"/>
      <c r="S4" s="93"/>
    </row>
    <row r="5" spans="1:22" ht="16.5" customHeight="1" x14ac:dyDescent="0.2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 x14ac:dyDescent="0.2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 x14ac:dyDescent="0.2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(1-0.125)*gamma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 x14ac:dyDescent="0.2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08" t="str">
        <f>"Massgebende Einkommen "&amp;Info!C31</f>
        <v>Massgebende Einkommen 2011</v>
      </c>
      <c r="P8" s="199" t="s">
        <v>95</v>
      </c>
      <c r="Q8" s="192" t="s">
        <v>96</v>
      </c>
      <c r="R8" s="119"/>
      <c r="S8" s="216" t="s">
        <v>97</v>
      </c>
    </row>
    <row r="9" spans="1:22" s="120" customFormat="1" ht="24" customHeight="1" x14ac:dyDescent="0.2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09"/>
      <c r="P9" s="207"/>
      <c r="Q9" s="214"/>
      <c r="R9" s="119"/>
      <c r="S9" s="217"/>
      <c r="V9" s="122" t="str">
        <f>Info!C28</f>
        <v>FA_2016_20150609</v>
      </c>
    </row>
    <row r="10" spans="1:22" s="120" customFormat="1" ht="69" customHeight="1" x14ac:dyDescent="0.2">
      <c r="A10" s="34"/>
      <c r="B10" s="207"/>
      <c r="C10" s="20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07"/>
      <c r="J10" s="207"/>
      <c r="K10" s="207"/>
      <c r="L10" s="214"/>
      <c r="M10" s="118"/>
      <c r="N10" s="123"/>
      <c r="O10" s="210"/>
      <c r="P10" s="213"/>
      <c r="Q10" s="215"/>
      <c r="R10" s="119"/>
      <c r="S10" s="217"/>
      <c r="U10" s="211" t="str">
        <f>" Standardisierter Steuersatz (SST) "&amp;Info!C30-1</f>
        <v xml:space="preserve"> Standardisierter Steuersatz (SST) 2015</v>
      </c>
      <c r="V10" s="212"/>
    </row>
    <row r="11" spans="1:22" s="124" customFormat="1" ht="14.25" customHeight="1" x14ac:dyDescent="0.2">
      <c r="A11" s="125" t="s">
        <v>102</v>
      </c>
      <c r="B11" s="126">
        <f>gamma</f>
        <v>0.36499999999999999</v>
      </c>
      <c r="C11" s="126">
        <f>gamma</f>
        <v>0.36499999999999999</v>
      </c>
      <c r="D11" s="127">
        <f>IF(Info!C31&lt;2006,0.03/sst,0.875*gamma)</f>
        <v>0.31937499999999996</v>
      </c>
      <c r="E11" s="126">
        <f>0.045/sst</f>
        <v>0.16245487364620936</v>
      </c>
      <c r="F11" s="126">
        <f>gamma-0.035/sst</f>
        <v>0.23864620938628159</v>
      </c>
      <c r="G11" s="126">
        <f>0.045/sst</f>
        <v>0.16245487364620936</v>
      </c>
      <c r="H11" s="128">
        <f>0.6*gamma</f>
        <v>0.219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ASG_2016_2011.xlsx</v>
      </c>
      <c r="R11" s="132"/>
      <c r="S11" s="133"/>
      <c r="U11" s="205" t="str">
        <f>"Quelle: RA_"&amp;Info!C30-1&amp;".xlsx"</f>
        <v>Quelle: RA_2015.xlsx</v>
      </c>
      <c r="V11" s="206"/>
    </row>
    <row r="12" spans="1:22" s="124" customFormat="1" ht="14.25" customHeight="1" x14ac:dyDescent="0.2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 x14ac:dyDescent="0.25">
      <c r="A13" s="139" t="s">
        <v>45</v>
      </c>
      <c r="B13" s="140">
        <f>(Bruttoeink!B10*B$11)/1000</f>
        <v>1812221.6117049998</v>
      </c>
      <c r="C13" s="140">
        <f>(Bruttoeink!C10*C$11)/1000</f>
        <v>22944.888054999999</v>
      </c>
      <c r="D13" s="141">
        <f>(Bruttoeink!D10*D$11)/1000</f>
        <v>0</v>
      </c>
      <c r="E13" s="140">
        <f>(Bruttoeink!E10*E$11)/1000</f>
        <v>79456.111245487351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102400.99930048735</v>
      </c>
      <c r="J13" s="143">
        <f t="shared" ref="J13:J38" si="1">$J$39</f>
        <v>0.75</v>
      </c>
      <c r="K13" s="140">
        <f t="shared" ref="K13:K39" si="2">I13*J13</f>
        <v>76800.749475365519</v>
      </c>
      <c r="L13" s="144">
        <f t="shared" ref="L13:L39" si="3">K13+B13</f>
        <v>1889022.3611803653</v>
      </c>
      <c r="M13" s="145"/>
      <c r="N13" s="139" t="s">
        <v>45</v>
      </c>
      <c r="O13" s="146">
        <v>36444289.200000003</v>
      </c>
      <c r="P13" s="147">
        <v>0</v>
      </c>
      <c r="Q13" s="144">
        <f>IF(Berechnung_QS!L13=0,O13*P13,0)</f>
        <v>0</v>
      </c>
      <c r="R13" s="148"/>
      <c r="S13" s="149">
        <f>Berechnung_QS!L13+Q13</f>
        <v>1889022.3611803653</v>
      </c>
      <c r="U13" s="150" t="s">
        <v>103</v>
      </c>
      <c r="V13" s="151">
        <v>0.27698654084703</v>
      </c>
    </row>
    <row r="14" spans="1:22" ht="15.75" customHeight="1" x14ac:dyDescent="0.25">
      <c r="A14" s="152" t="s">
        <v>46</v>
      </c>
      <c r="B14" s="153">
        <f>(Bruttoeink!B11*B$11)/1000</f>
        <v>560000.18478765001</v>
      </c>
      <c r="C14" s="153">
        <f>(Bruttoeink!C11*C$11)/1000</f>
        <v>39514.690752799994</v>
      </c>
      <c r="D14" s="154">
        <f>(Bruttoeink!D11*D$11)/1000</f>
        <v>26.234117218749997</v>
      </c>
      <c r="E14" s="153">
        <f>(Bruttoeink!E11*E$11)/1000</f>
        <v>2444.7114877256313</v>
      </c>
      <c r="F14" s="153">
        <f>(Bruttoeink!F11*F$11)/1000</f>
        <v>0</v>
      </c>
      <c r="G14" s="153">
        <f>(Bruttoeink!G11*G$11)/1000</f>
        <v>19407.020125451258</v>
      </c>
      <c r="H14" s="155">
        <f>(Bruttoeink!H11*H$11)/1000</f>
        <v>0</v>
      </c>
      <c r="I14" s="153">
        <f t="shared" si="0"/>
        <v>61392.656483195635</v>
      </c>
      <c r="J14" s="156">
        <f t="shared" si="1"/>
        <v>0.75</v>
      </c>
      <c r="K14" s="153">
        <f t="shared" si="2"/>
        <v>46044.492362396726</v>
      </c>
      <c r="L14" s="157">
        <f t="shared" si="3"/>
        <v>606044.67715004669</v>
      </c>
      <c r="M14" s="145"/>
      <c r="N14" s="152" t="s">
        <v>46</v>
      </c>
      <c r="O14" s="158">
        <v>15571543.9</v>
      </c>
      <c r="P14" s="159">
        <v>0</v>
      </c>
      <c r="Q14" s="157">
        <f>IF(Berechnung_QS!L14=0,O14*P14,0)</f>
        <v>0</v>
      </c>
      <c r="R14" s="148"/>
      <c r="S14" s="160">
        <f>Berechnung_QS!L14+Q14</f>
        <v>606044.67715004669</v>
      </c>
      <c r="U14" s="161" t="s">
        <v>104</v>
      </c>
      <c r="V14" s="162">
        <f>ROUND(V13,3)</f>
        <v>0.27700000000000002</v>
      </c>
    </row>
    <row r="15" spans="1:22" ht="15.75" customHeight="1" x14ac:dyDescent="0.25">
      <c r="A15" s="163" t="s">
        <v>47</v>
      </c>
      <c r="B15" s="164">
        <f>(Bruttoeink!B12*B$11)/1000</f>
        <v>249806.33503714998</v>
      </c>
      <c r="C15" s="164">
        <f>(Bruttoeink!C12*C$11)/1000</f>
        <v>12407.3063365</v>
      </c>
      <c r="D15" s="165">
        <f>(Bruttoeink!D12*D$11)/1000</f>
        <v>180.55469599999998</v>
      </c>
      <c r="E15" s="164">
        <f>(Bruttoeink!E12*E$11)/1000</f>
        <v>938.53158628158837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13526.392618781587</v>
      </c>
      <c r="J15" s="167">
        <f t="shared" si="1"/>
        <v>0.75</v>
      </c>
      <c r="K15" s="164">
        <f t="shared" si="2"/>
        <v>10144.79446408619</v>
      </c>
      <c r="L15" s="168">
        <f t="shared" si="3"/>
        <v>259951.12950123617</v>
      </c>
      <c r="M15" s="145"/>
      <c r="N15" s="163" t="s">
        <v>47</v>
      </c>
      <c r="O15" s="169">
        <v>6479996.7999999998</v>
      </c>
      <c r="P15" s="170">
        <v>0</v>
      </c>
      <c r="Q15" s="168">
        <f>IF(Berechnung_QS!L15=0,O15*P15,0)</f>
        <v>0</v>
      </c>
      <c r="R15" s="148"/>
      <c r="S15" s="171">
        <f>Berechnung_QS!L15+Q15</f>
        <v>259951.12950123617</v>
      </c>
    </row>
    <row r="16" spans="1:22" ht="15.75" customHeight="1" x14ac:dyDescent="0.25">
      <c r="A16" s="152" t="s">
        <v>48</v>
      </c>
      <c r="B16" s="153">
        <f>(Bruttoeink!B13*B$11)/1000</f>
        <v>27409.296859999999</v>
      </c>
      <c r="C16" s="153">
        <f>(Bruttoeink!C13*C$11)/1000</f>
        <v>0</v>
      </c>
      <c r="D16" s="154">
        <f>(Bruttoeink!D13*D$11)/1000</f>
        <v>879.56130499999995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879.56130499999995</v>
      </c>
      <c r="J16" s="156">
        <f t="shared" si="1"/>
        <v>0.75</v>
      </c>
      <c r="K16" s="153">
        <f t="shared" si="2"/>
        <v>659.6709787499999</v>
      </c>
      <c r="L16" s="157">
        <f t="shared" si="3"/>
        <v>28068.967838749999</v>
      </c>
      <c r="M16" s="145"/>
      <c r="N16" s="152" t="s">
        <v>48</v>
      </c>
      <c r="O16" s="158">
        <v>452188.4</v>
      </c>
      <c r="P16" s="159">
        <v>0</v>
      </c>
      <c r="Q16" s="157">
        <f>IF(Berechnung_QS!L16=0,O16*P16,0)</f>
        <v>0</v>
      </c>
      <c r="R16" s="148"/>
      <c r="S16" s="160">
        <f>Berechnung_QS!L16+Q16</f>
        <v>28068.967838749999</v>
      </c>
    </row>
    <row r="17" spans="1:19" ht="15.75" customHeight="1" x14ac:dyDescent="0.25">
      <c r="A17" s="163" t="s">
        <v>49</v>
      </c>
      <c r="B17" s="164">
        <f>(Bruttoeink!B14*B$11)/1000</f>
        <v>112315.00190999999</v>
      </c>
      <c r="C17" s="164">
        <f>(Bruttoeink!C14*C$11)/1000</f>
        <v>19698.361974999996</v>
      </c>
      <c r="D17" s="165">
        <f>(Bruttoeink!D14*D$11)/1000</f>
        <v>415.49346124999994</v>
      </c>
      <c r="E17" s="164">
        <f>(Bruttoeink!E14*E$11)/1000</f>
        <v>342.28137184115519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20456.136808091152</v>
      </c>
      <c r="J17" s="167">
        <f t="shared" si="1"/>
        <v>0.75</v>
      </c>
      <c r="K17" s="164">
        <f t="shared" si="2"/>
        <v>15342.102606068365</v>
      </c>
      <c r="L17" s="168">
        <f t="shared" si="3"/>
        <v>127657.10451606836</v>
      </c>
      <c r="M17" s="145"/>
      <c r="N17" s="163" t="s">
        <v>49</v>
      </c>
      <c r="O17" s="169">
        <v>6110860.7999999998</v>
      </c>
      <c r="P17" s="170">
        <v>0</v>
      </c>
      <c r="Q17" s="168">
        <f>IF(Berechnung_QS!L17=0,O17*P17,0)</f>
        <v>0</v>
      </c>
      <c r="R17" s="148"/>
      <c r="S17" s="171">
        <f>Berechnung_QS!L17+Q17</f>
        <v>127657.10451606836</v>
      </c>
    </row>
    <row r="18" spans="1:19" ht="15.75" customHeight="1" x14ac:dyDescent="0.25">
      <c r="A18" s="152" t="s">
        <v>50</v>
      </c>
      <c r="B18" s="153">
        <f>(Bruttoeink!B15*B$11)/1000</f>
        <v>29012.175237650001</v>
      </c>
      <c r="C18" s="153">
        <f>(Bruttoeink!C15*C$11)/1000</f>
        <v>1700.7974751500001</v>
      </c>
      <c r="D18" s="154">
        <f>(Bruttoeink!D15*D$11)/1000</f>
        <v>56.577281249999992</v>
      </c>
      <c r="E18" s="153">
        <f>(Bruttoeink!E15*E$11)/1000</f>
        <v>43.517149277978326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1800.8919056779785</v>
      </c>
      <c r="J18" s="156">
        <f t="shared" si="1"/>
        <v>0.75</v>
      </c>
      <c r="K18" s="153">
        <f t="shared" si="2"/>
        <v>1350.6689292584838</v>
      </c>
      <c r="L18" s="157">
        <f t="shared" si="3"/>
        <v>30362.844166908486</v>
      </c>
      <c r="M18" s="145"/>
      <c r="N18" s="152" t="s">
        <v>50</v>
      </c>
      <c r="O18" s="158">
        <v>641642.9</v>
      </c>
      <c r="P18" s="159">
        <v>0</v>
      </c>
      <c r="Q18" s="157">
        <f>IF(Berechnung_QS!L18=0,O18*P18,0)</f>
        <v>0</v>
      </c>
      <c r="R18" s="148"/>
      <c r="S18" s="160">
        <f>Berechnung_QS!L18+Q18</f>
        <v>30362.844166908486</v>
      </c>
    </row>
    <row r="19" spans="1:19" ht="15.75" customHeight="1" x14ac:dyDescent="0.25">
      <c r="A19" s="163" t="s">
        <v>51</v>
      </c>
      <c r="B19" s="164">
        <f>(Bruttoeink!B16*B$11)/1000</f>
        <v>27142.745346199998</v>
      </c>
      <c r="C19" s="164">
        <f>(Bruttoeink!C16*C$11)/1000</f>
        <v>494.91207750000001</v>
      </c>
      <c r="D19" s="165">
        <f>(Bruttoeink!D16*D$11)/1000</f>
        <v>828.26648624999996</v>
      </c>
      <c r="E19" s="164">
        <f>(Bruttoeink!E16*E$11)/1000</f>
        <v>87.655881768953051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1410.8344455189531</v>
      </c>
      <c r="J19" s="167">
        <f t="shared" si="1"/>
        <v>0.75</v>
      </c>
      <c r="K19" s="164">
        <f t="shared" si="2"/>
        <v>1058.1258341392149</v>
      </c>
      <c r="L19" s="168">
        <f t="shared" si="3"/>
        <v>28200.871180339214</v>
      </c>
      <c r="M19" s="145"/>
      <c r="N19" s="163" t="s">
        <v>51</v>
      </c>
      <c r="O19" s="169">
        <v>1196598.1000000001</v>
      </c>
      <c r="P19" s="170">
        <v>0</v>
      </c>
      <c r="Q19" s="168">
        <f>IF(Berechnung_QS!L19=0,O19*P19,0)</f>
        <v>0</v>
      </c>
      <c r="R19" s="148"/>
      <c r="S19" s="171">
        <f>Berechnung_QS!L19+Q19</f>
        <v>28200.871180339214</v>
      </c>
    </row>
    <row r="20" spans="1:19" ht="15.75" customHeight="1" x14ac:dyDescent="0.25">
      <c r="A20" s="152" t="s">
        <v>52</v>
      </c>
      <c r="B20" s="153">
        <f>(Bruttoeink!B17*B$11)/1000</f>
        <v>41084.611170750002</v>
      </c>
      <c r="C20" s="153">
        <f>(Bruttoeink!C17*C$11)/1000</f>
        <v>204.55470525000001</v>
      </c>
      <c r="D20" s="154">
        <f>(Bruttoeink!D17*D$11)/1000</f>
        <v>3150.2456892374994</v>
      </c>
      <c r="E20" s="153">
        <f>(Bruttoeink!E17*E$11)/1000</f>
        <v>44.625825812274364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3399.4262202997738</v>
      </c>
      <c r="J20" s="156">
        <f t="shared" si="1"/>
        <v>0.75</v>
      </c>
      <c r="K20" s="153">
        <f t="shared" si="2"/>
        <v>2549.5696652248303</v>
      </c>
      <c r="L20" s="157">
        <f t="shared" si="3"/>
        <v>43634.180835974832</v>
      </c>
      <c r="M20" s="145"/>
      <c r="N20" s="152" t="s">
        <v>52</v>
      </c>
      <c r="O20" s="158">
        <v>561553.80000000005</v>
      </c>
      <c r="P20" s="159">
        <v>0</v>
      </c>
      <c r="Q20" s="157">
        <f>IF(Berechnung_QS!L20=0,O20*P20,0)</f>
        <v>0</v>
      </c>
      <c r="R20" s="148"/>
      <c r="S20" s="160">
        <f>Berechnung_QS!L20+Q20</f>
        <v>43634.180835974832</v>
      </c>
    </row>
    <row r="21" spans="1:19" ht="15.75" customHeight="1" x14ac:dyDescent="0.25">
      <c r="A21" s="163" t="s">
        <v>53</v>
      </c>
      <c r="B21" s="164">
        <f>(Bruttoeink!B18*B$11)/1000</f>
        <v>239206.11493499999</v>
      </c>
      <c r="C21" s="164">
        <f>(Bruttoeink!C18*C$11)/1000</f>
        <v>13791.46788115</v>
      </c>
      <c r="D21" s="165">
        <f>(Bruttoeink!D18*D$11)/1000</f>
        <v>855.02979187499989</v>
      </c>
      <c r="E21" s="164">
        <f>(Bruttoeink!E18*E$11)/1000</f>
        <v>713.36111913357399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15359.858792158575</v>
      </c>
      <c r="J21" s="167">
        <f t="shared" si="1"/>
        <v>0.75</v>
      </c>
      <c r="K21" s="164">
        <f t="shared" si="2"/>
        <v>11519.894094118932</v>
      </c>
      <c r="L21" s="168">
        <f t="shared" si="3"/>
        <v>250726.00902911893</v>
      </c>
      <c r="M21" s="145"/>
      <c r="N21" s="163" t="s">
        <v>53</v>
      </c>
      <c r="O21" s="169">
        <v>6718838.2000000002</v>
      </c>
      <c r="P21" s="170">
        <v>0</v>
      </c>
      <c r="Q21" s="168">
        <f>IF(Berechnung_QS!L21=0,O21*P21,0)</f>
        <v>0</v>
      </c>
      <c r="R21" s="148"/>
      <c r="S21" s="171">
        <f>Berechnung_QS!L21+Q21</f>
        <v>250726.00902911893</v>
      </c>
    </row>
    <row r="22" spans="1:19" ht="15.75" customHeight="1" x14ac:dyDescent="0.25">
      <c r="A22" s="152" t="s">
        <v>54</v>
      </c>
      <c r="B22" s="153">
        <f>(Bruttoeink!B19*B$11)/1000</f>
        <v>218300.82607499999</v>
      </c>
      <c r="C22" s="153">
        <f>(Bruttoeink!C19*C$11)/1000</f>
        <v>0</v>
      </c>
      <c r="D22" s="154">
        <f>(Bruttoeink!D19*D$11)/1000</f>
        <v>1067.6386874999998</v>
      </c>
      <c r="E22" s="153">
        <f>(Bruttoeink!E19*E$11)/1000</f>
        <v>50.413808664259925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1118.0524961642598</v>
      </c>
      <c r="J22" s="156">
        <f t="shared" si="1"/>
        <v>0.75</v>
      </c>
      <c r="K22" s="153">
        <f t="shared" si="2"/>
        <v>838.53937212319488</v>
      </c>
      <c r="L22" s="157">
        <f t="shared" si="3"/>
        <v>219139.36544712319</v>
      </c>
      <c r="M22" s="145"/>
      <c r="N22" s="152" t="s">
        <v>54</v>
      </c>
      <c r="O22" s="158">
        <v>4570900.4000000004</v>
      </c>
      <c r="P22" s="159">
        <v>0</v>
      </c>
      <c r="Q22" s="157">
        <f>IF(Berechnung_QS!L22=0,O22*P22,0)</f>
        <v>0</v>
      </c>
      <c r="R22" s="148"/>
      <c r="S22" s="160">
        <f>Berechnung_QS!L22+Q22</f>
        <v>219139.36544712319</v>
      </c>
    </row>
    <row r="23" spans="1:19" ht="15.75" customHeight="1" x14ac:dyDescent="0.25">
      <c r="A23" s="163" t="s">
        <v>55</v>
      </c>
      <c r="B23" s="164">
        <f>(Bruttoeink!B20*B$11)/1000</f>
        <v>137588.38652859998</v>
      </c>
      <c r="C23" s="164">
        <f>(Bruttoeink!C20*C$11)/1000</f>
        <v>5642.3599277499998</v>
      </c>
      <c r="D23" s="165">
        <f>(Bruttoeink!D20*D$11)/1000</f>
        <v>231.34806406249996</v>
      </c>
      <c r="E23" s="164">
        <f>(Bruttoeink!E20*E$11)/1000</f>
        <v>5883.8763898916959</v>
      </c>
      <c r="F23" s="164">
        <f>(Bruttoeink!F20*F$11)/1000</f>
        <v>0</v>
      </c>
      <c r="G23" s="164">
        <f>(Bruttoeink!G20*G$11)/1000</f>
        <v>13360.900166967507</v>
      </c>
      <c r="H23" s="166">
        <f>(Bruttoeink!H20*H$11)/1000</f>
        <v>0</v>
      </c>
      <c r="I23" s="164">
        <f t="shared" si="0"/>
        <v>25118.484548671702</v>
      </c>
      <c r="J23" s="167">
        <f t="shared" si="1"/>
        <v>0.75</v>
      </c>
      <c r="K23" s="164">
        <f t="shared" si="2"/>
        <v>18838.863411503778</v>
      </c>
      <c r="L23" s="168">
        <f t="shared" si="3"/>
        <v>156427.24994010376</v>
      </c>
      <c r="M23" s="145"/>
      <c r="N23" s="163" t="s">
        <v>55</v>
      </c>
      <c r="O23" s="169">
        <v>4458564.3</v>
      </c>
      <c r="P23" s="170">
        <v>0</v>
      </c>
      <c r="Q23" s="168">
        <f>IF(Berechnung_QS!L23=0,O23*P23,0)</f>
        <v>0</v>
      </c>
      <c r="R23" s="148"/>
      <c r="S23" s="171">
        <f>Berechnung_QS!L23+Q23</f>
        <v>156427.24994010376</v>
      </c>
    </row>
    <row r="24" spans="1:19" ht="15.75" customHeight="1" x14ac:dyDescent="0.25">
      <c r="A24" s="152" t="s">
        <v>56</v>
      </c>
      <c r="B24" s="153">
        <f>(Bruttoeink!B21*B$11)/1000</f>
        <v>272297.90300555003</v>
      </c>
      <c r="C24" s="153">
        <f>(Bruttoeink!C21*C$11)/1000</f>
        <v>54942.539861549994</v>
      </c>
      <c r="D24" s="154">
        <f>(Bruttoeink!D21*D$11)/1000</f>
        <v>426.50287640624992</v>
      </c>
      <c r="E24" s="153">
        <f>(Bruttoeink!E21*E$11)/1000</f>
        <v>211705.78149097471</v>
      </c>
      <c r="F24" s="153">
        <f>(Bruttoeink!F21*F$11)/1000</f>
        <v>0</v>
      </c>
      <c r="G24" s="153">
        <f>(Bruttoeink!G21*G$11)/1000</f>
        <v>248175.21089079423</v>
      </c>
      <c r="H24" s="155">
        <f>(Bruttoeink!H21*H$11)/1000</f>
        <v>0</v>
      </c>
      <c r="I24" s="153">
        <f t="shared" si="0"/>
        <v>515250.03511972522</v>
      </c>
      <c r="J24" s="156">
        <f t="shared" si="1"/>
        <v>0.75</v>
      </c>
      <c r="K24" s="153">
        <f t="shared" si="2"/>
        <v>386437.52633979393</v>
      </c>
      <c r="L24" s="157">
        <f t="shared" si="3"/>
        <v>658735.42934534396</v>
      </c>
      <c r="M24" s="145"/>
      <c r="N24" s="152" t="s">
        <v>56</v>
      </c>
      <c r="O24" s="158">
        <v>4465168.3</v>
      </c>
      <c r="P24" s="159">
        <v>0</v>
      </c>
      <c r="Q24" s="157">
        <f>IF(Berechnung_QS!L24=0,O24*P24,0)</f>
        <v>0</v>
      </c>
      <c r="R24" s="148"/>
      <c r="S24" s="160">
        <f>Berechnung_QS!L24+Q24</f>
        <v>658735.42934534396</v>
      </c>
    </row>
    <row r="25" spans="1:19" ht="15.75" customHeight="1" x14ac:dyDescent="0.25">
      <c r="A25" s="163" t="s">
        <v>57</v>
      </c>
      <c r="B25" s="164">
        <f>(Bruttoeink!B22*B$11)/1000</f>
        <v>142063.37270509999</v>
      </c>
      <c r="C25" s="164">
        <f>(Bruttoeink!C22*C$11)/1000</f>
        <v>31725.901170700003</v>
      </c>
      <c r="D25" s="165">
        <f>(Bruttoeink!D22*D$11)/1000</f>
        <v>428.26306381249998</v>
      </c>
      <c r="E25" s="164">
        <f>(Bruttoeink!E22*E$11)/1000</f>
        <v>103175.59661642599</v>
      </c>
      <c r="F25" s="164">
        <f>(Bruttoeink!F22*F$11)/1000</f>
        <v>0</v>
      </c>
      <c r="G25" s="164">
        <f>(Bruttoeink!G22*G$11)/1000</f>
        <v>154737.68377256315</v>
      </c>
      <c r="H25" s="166">
        <f>(Bruttoeink!H22*H$11)/1000</f>
        <v>0</v>
      </c>
      <c r="I25" s="164">
        <f t="shared" si="0"/>
        <v>290067.44462350162</v>
      </c>
      <c r="J25" s="167">
        <f t="shared" si="1"/>
        <v>0.75</v>
      </c>
      <c r="K25" s="164">
        <f t="shared" si="2"/>
        <v>217550.58346762622</v>
      </c>
      <c r="L25" s="168">
        <f t="shared" si="3"/>
        <v>359613.95617272623</v>
      </c>
      <c r="M25" s="145"/>
      <c r="N25" s="163" t="s">
        <v>57</v>
      </c>
      <c r="O25" s="169">
        <v>6294538.7000000002</v>
      </c>
      <c r="P25" s="170">
        <v>0</v>
      </c>
      <c r="Q25" s="168">
        <f>IF(Berechnung_QS!L25=0,O25*P25,0)</f>
        <v>0</v>
      </c>
      <c r="R25" s="148"/>
      <c r="S25" s="171">
        <f>Berechnung_QS!L25+Q25</f>
        <v>359613.95617272623</v>
      </c>
    </row>
    <row r="26" spans="1:19" ht="15.75" customHeight="1" x14ac:dyDescent="0.25">
      <c r="A26" s="152" t="s">
        <v>58</v>
      </c>
      <c r="B26" s="153">
        <f>(Bruttoeink!B23*B$11)/1000</f>
        <v>109767.07776349998</v>
      </c>
      <c r="C26" s="153">
        <f>(Bruttoeink!C23*C$11)/1000</f>
        <v>8022.8284799999992</v>
      </c>
      <c r="D26" s="154">
        <f>(Bruttoeink!D23*D$11)/1000</f>
        <v>174.87207259375</v>
      </c>
      <c r="E26" s="153">
        <f>(Bruttoeink!E23*E$11)/1000</f>
        <v>54782.394075812263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62980.094628406012</v>
      </c>
      <c r="J26" s="156">
        <f t="shared" si="1"/>
        <v>0.75</v>
      </c>
      <c r="K26" s="153">
        <f t="shared" si="2"/>
        <v>47235.070971304507</v>
      </c>
      <c r="L26" s="157">
        <f t="shared" si="3"/>
        <v>157002.14873480448</v>
      </c>
      <c r="M26" s="145"/>
      <c r="N26" s="152" t="s">
        <v>58</v>
      </c>
      <c r="O26" s="158">
        <v>1237632.3</v>
      </c>
      <c r="P26" s="159">
        <v>0</v>
      </c>
      <c r="Q26" s="157">
        <f>IF(Berechnung_QS!L26=0,O26*P26,0)</f>
        <v>0</v>
      </c>
      <c r="R26" s="148"/>
      <c r="S26" s="160">
        <f>Berechnung_QS!L26+Q26</f>
        <v>157002.14873480448</v>
      </c>
    </row>
    <row r="27" spans="1:19" ht="15.75" customHeight="1" x14ac:dyDescent="0.25">
      <c r="A27" s="163" t="s">
        <v>59</v>
      </c>
      <c r="B27" s="164">
        <f>(Bruttoeink!B24*B$11)/1000</f>
        <v>35686.742039999997</v>
      </c>
      <c r="C27" s="164">
        <f>(Bruttoeink!C24*C$11)/1000</f>
        <v>1883.419345</v>
      </c>
      <c r="D27" s="165">
        <f>(Bruttoeink!D24*D$11)/1000</f>
        <v>4100.2911468749999</v>
      </c>
      <c r="E27" s="164">
        <f>(Bruttoeink!E24*E$11)/1000</f>
        <v>644.37384476534294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6628.0843366403433</v>
      </c>
      <c r="J27" s="167">
        <f t="shared" si="1"/>
        <v>0.75</v>
      </c>
      <c r="K27" s="164">
        <f t="shared" si="2"/>
        <v>4971.0632524802577</v>
      </c>
      <c r="L27" s="168">
        <f t="shared" si="3"/>
        <v>40657.805292480254</v>
      </c>
      <c r="M27" s="145"/>
      <c r="N27" s="163" t="s">
        <v>59</v>
      </c>
      <c r="O27" s="169">
        <v>910568.8</v>
      </c>
      <c r="P27" s="170">
        <v>0</v>
      </c>
      <c r="Q27" s="168">
        <f>IF(Berechnung_QS!L27=0,O27*P27,0)</f>
        <v>0</v>
      </c>
      <c r="R27" s="148"/>
      <c r="S27" s="171">
        <f>Berechnung_QS!L27+Q27</f>
        <v>40657.805292480254</v>
      </c>
    </row>
    <row r="28" spans="1:19" ht="15.75" customHeight="1" x14ac:dyDescent="0.25">
      <c r="A28" s="152" t="s">
        <v>60</v>
      </c>
      <c r="B28" s="153">
        <f>(Bruttoeink!B25*B$11)/1000</f>
        <v>6559.8691366499997</v>
      </c>
      <c r="C28" s="153">
        <f>(Bruttoeink!C25*C$11)/1000</f>
        <v>623.11025734999998</v>
      </c>
      <c r="D28" s="154">
        <f>(Bruttoeink!D25*D$11)/1000</f>
        <v>1198.8995704874999</v>
      </c>
      <c r="E28" s="153">
        <f>(Bruttoeink!E25*E$11)/1000</f>
        <v>103.59424332129963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1925.6040711587996</v>
      </c>
      <c r="J28" s="156">
        <f t="shared" si="1"/>
        <v>0.75</v>
      </c>
      <c r="K28" s="153">
        <f t="shared" si="2"/>
        <v>1444.2030533690997</v>
      </c>
      <c r="L28" s="157">
        <f t="shared" si="3"/>
        <v>8004.0721900190993</v>
      </c>
      <c r="M28" s="145"/>
      <c r="N28" s="152" t="s">
        <v>60</v>
      </c>
      <c r="O28" s="158">
        <v>277451.40000000002</v>
      </c>
      <c r="P28" s="159">
        <v>0</v>
      </c>
      <c r="Q28" s="157">
        <f>IF(Berechnung_QS!L28=0,O28*P28,0)</f>
        <v>0</v>
      </c>
      <c r="R28" s="148"/>
      <c r="S28" s="160">
        <f>Berechnung_QS!L28+Q28</f>
        <v>8004.0721900190993</v>
      </c>
    </row>
    <row r="29" spans="1:19" ht="15.75" customHeight="1" x14ac:dyDescent="0.25">
      <c r="A29" s="163" t="s">
        <v>61</v>
      </c>
      <c r="B29" s="164">
        <f>(Bruttoeink!B26*B$11)/1000</f>
        <v>336849.33412000001</v>
      </c>
      <c r="C29" s="164">
        <f>(Bruttoeink!C26*C$11)/1000</f>
        <v>23660.255570000001</v>
      </c>
      <c r="D29" s="165">
        <f>(Bruttoeink!D26*D$11)/1000</f>
        <v>147673.36973812501</v>
      </c>
      <c r="E29" s="164">
        <f>(Bruttoeink!E26*E$11)/1000</f>
        <v>11434.895902527074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182768.52121065208</v>
      </c>
      <c r="J29" s="167">
        <f t="shared" si="1"/>
        <v>0.75</v>
      </c>
      <c r="K29" s="164">
        <f t="shared" si="2"/>
        <v>137076.39090798906</v>
      </c>
      <c r="L29" s="168">
        <f t="shared" si="3"/>
        <v>473925.72502798907</v>
      </c>
      <c r="M29" s="145"/>
      <c r="N29" s="163" t="s">
        <v>61</v>
      </c>
      <c r="O29" s="169">
        <v>7470497.7000000002</v>
      </c>
      <c r="P29" s="170">
        <v>0</v>
      </c>
      <c r="Q29" s="168">
        <f>IF(Berechnung_QS!L29=0,O29*P29,0)</f>
        <v>0</v>
      </c>
      <c r="R29" s="148"/>
      <c r="S29" s="171">
        <f>Berechnung_QS!L29+Q29</f>
        <v>473925.72502798907</v>
      </c>
    </row>
    <row r="30" spans="1:19" ht="15.75" customHeight="1" x14ac:dyDescent="0.25">
      <c r="A30" s="152" t="s">
        <v>62</v>
      </c>
      <c r="B30" s="153">
        <f>(Bruttoeink!B27*B$11)/1000</f>
        <v>296188.78854500002</v>
      </c>
      <c r="C30" s="153">
        <f>(Bruttoeink!C27*C$11)/1000</f>
        <v>73523.287724999987</v>
      </c>
      <c r="D30" s="154">
        <f>(Bruttoeink!D27*D$11)/1000</f>
        <v>5274.0220574999994</v>
      </c>
      <c r="E30" s="153">
        <f>(Bruttoeink!E27*E$11)/1000</f>
        <v>0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12652.180347</v>
      </c>
      <c r="I30" s="153">
        <f t="shared" si="0"/>
        <v>91449.490129499987</v>
      </c>
      <c r="J30" s="156">
        <f t="shared" si="1"/>
        <v>0.75</v>
      </c>
      <c r="K30" s="153">
        <f t="shared" si="2"/>
        <v>68587.11759712499</v>
      </c>
      <c r="L30" s="157">
        <f t="shared" si="3"/>
        <v>364775.90614212502</v>
      </c>
      <c r="M30" s="145"/>
      <c r="N30" s="152" t="s">
        <v>62</v>
      </c>
      <c r="O30" s="158">
        <v>3268764.8</v>
      </c>
      <c r="P30" s="159">
        <v>0</v>
      </c>
      <c r="Q30" s="157">
        <f>IF(Berechnung_QS!L30=0,O30*P30,0)</f>
        <v>0</v>
      </c>
      <c r="R30" s="148"/>
      <c r="S30" s="160">
        <f>Berechnung_QS!L30+Q30</f>
        <v>364775.90614212502</v>
      </c>
    </row>
    <row r="31" spans="1:19" ht="15.75" customHeight="1" x14ac:dyDescent="0.25">
      <c r="A31" s="163" t="s">
        <v>63</v>
      </c>
      <c r="B31" s="164">
        <f>(Bruttoeink!B28*B$11)/1000</f>
        <v>390824.60957500001</v>
      </c>
      <c r="C31" s="164">
        <f>(Bruttoeink!C28*C$11)/1000</f>
        <v>88524.275794250003</v>
      </c>
      <c r="D31" s="165">
        <f>(Bruttoeink!D28*D$11)/1000</f>
        <v>734.13262124999994</v>
      </c>
      <c r="E31" s="164">
        <f>(Bruttoeink!E28*E$11)/1000</f>
        <v>129399.92314440431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218658.33155990433</v>
      </c>
      <c r="J31" s="167">
        <f t="shared" si="1"/>
        <v>0.75</v>
      </c>
      <c r="K31" s="164">
        <f t="shared" si="2"/>
        <v>163993.74866992823</v>
      </c>
      <c r="L31" s="168">
        <f t="shared" si="3"/>
        <v>554818.3582449283</v>
      </c>
      <c r="M31" s="145"/>
      <c r="N31" s="163" t="s">
        <v>63</v>
      </c>
      <c r="O31" s="169">
        <v>11600601</v>
      </c>
      <c r="P31" s="170">
        <v>0</v>
      </c>
      <c r="Q31" s="168">
        <f>IF(Berechnung_QS!L31=0,O31*P31,0)</f>
        <v>0</v>
      </c>
      <c r="R31" s="148"/>
      <c r="S31" s="171">
        <f>Berechnung_QS!L31+Q31</f>
        <v>554818.3582449283</v>
      </c>
    </row>
    <row r="32" spans="1:19" ht="15.75" customHeight="1" x14ac:dyDescent="0.25">
      <c r="A32" s="152" t="s">
        <v>64</v>
      </c>
      <c r="B32" s="153">
        <f>(Bruttoeink!B29*B$11)/1000</f>
        <v>216378.8529991</v>
      </c>
      <c r="C32" s="153">
        <f>(Bruttoeink!C29*C$11)/1000</f>
        <v>16760.570922350002</v>
      </c>
      <c r="D32" s="154">
        <f>(Bruttoeink!D29*D$11)/1000</f>
        <v>4902.7827643812498</v>
      </c>
      <c r="E32" s="153">
        <f>(Bruttoeink!E29*E$11)/1000</f>
        <v>41902.384496750899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63565.73818348215</v>
      </c>
      <c r="J32" s="156">
        <f t="shared" si="1"/>
        <v>0.75</v>
      </c>
      <c r="K32" s="153">
        <f t="shared" si="2"/>
        <v>47674.303637611614</v>
      </c>
      <c r="L32" s="157">
        <f t="shared" si="3"/>
        <v>264053.15663671162</v>
      </c>
      <c r="M32" s="145"/>
      <c r="N32" s="152" t="s">
        <v>64</v>
      </c>
      <c r="O32" s="158">
        <v>4138551.2</v>
      </c>
      <c r="P32" s="159">
        <v>0</v>
      </c>
      <c r="Q32" s="157">
        <f>IF(Berechnung_QS!L32=0,O32*P32,0)</f>
        <v>0</v>
      </c>
      <c r="R32" s="148"/>
      <c r="S32" s="160">
        <f>Berechnung_QS!L32+Q32</f>
        <v>264053.15663671162</v>
      </c>
    </row>
    <row r="33" spans="1:19" ht="15.75" customHeight="1" x14ac:dyDescent="0.25">
      <c r="A33" s="163" t="s">
        <v>65</v>
      </c>
      <c r="B33" s="164">
        <f>(Bruttoeink!B30*B$11)/1000</f>
        <v>305410.90081000002</v>
      </c>
      <c r="C33" s="164">
        <f>(Bruttoeink!C30*C$11)/1000</f>
        <v>163150.62073</v>
      </c>
      <c r="D33" s="165">
        <f>(Bruttoeink!D30*D$11)/1000</f>
        <v>4317.2266156249998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561615.59003099997</v>
      </c>
      <c r="I33" s="164">
        <f t="shared" si="0"/>
        <v>729083.4373766249</v>
      </c>
      <c r="J33" s="167">
        <f t="shared" si="1"/>
        <v>0.75</v>
      </c>
      <c r="K33" s="164">
        <f t="shared" si="2"/>
        <v>546812.57803246868</v>
      </c>
      <c r="L33" s="168">
        <f t="shared" si="3"/>
        <v>852223.4788424687</v>
      </c>
      <c r="M33" s="145"/>
      <c r="N33" s="163" t="s">
        <v>65</v>
      </c>
      <c r="O33" s="169">
        <v>6188314.0999999996</v>
      </c>
      <c r="P33" s="170">
        <v>0</v>
      </c>
      <c r="Q33" s="168">
        <f>IF(Berechnung_QS!L33=0,O33*P33,0)</f>
        <v>0</v>
      </c>
      <c r="R33" s="148"/>
      <c r="S33" s="171">
        <f>Berechnung_QS!L33+Q33</f>
        <v>852223.4788424687</v>
      </c>
    </row>
    <row r="34" spans="1:19" ht="15.75" customHeight="1" x14ac:dyDescent="0.25">
      <c r="A34" s="152" t="s">
        <v>66</v>
      </c>
      <c r="B34" s="153">
        <f>(Bruttoeink!B31*B$11)/1000</f>
        <v>995676.72085499996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284400.00844765344</v>
      </c>
      <c r="H34" s="155">
        <f>(Bruttoeink!H31*H$11)/1000</f>
        <v>0</v>
      </c>
      <c r="I34" s="153">
        <f t="shared" si="0"/>
        <v>284400.00844765344</v>
      </c>
      <c r="J34" s="156">
        <f t="shared" si="1"/>
        <v>0.75</v>
      </c>
      <c r="K34" s="153">
        <f t="shared" si="2"/>
        <v>213300.00633574009</v>
      </c>
      <c r="L34" s="157">
        <f t="shared" si="3"/>
        <v>1208976.7271907399</v>
      </c>
      <c r="M34" s="145"/>
      <c r="N34" s="152" t="s">
        <v>66</v>
      </c>
      <c r="O34" s="158">
        <v>15287259.9</v>
      </c>
      <c r="P34" s="159">
        <v>0</v>
      </c>
      <c r="Q34" s="157">
        <f>IF(Berechnung_QS!L34=0,O34*P34,0)</f>
        <v>0</v>
      </c>
      <c r="R34" s="148"/>
      <c r="S34" s="160">
        <f>Berechnung_QS!L34+Q34</f>
        <v>1208976.7271907399</v>
      </c>
    </row>
    <row r="35" spans="1:19" ht="15.75" customHeight="1" x14ac:dyDescent="0.25">
      <c r="A35" s="163" t="s">
        <v>67</v>
      </c>
      <c r="B35" s="164">
        <f>(Bruttoeink!B32*B$11)/1000</f>
        <v>370095.57045499998</v>
      </c>
      <c r="C35" s="164">
        <f>(Bruttoeink!C32*C$11)/1000</f>
        <v>3249.1051699999998</v>
      </c>
      <c r="D35" s="165">
        <f>(Bruttoeink!D32*D$11)/1000</f>
        <v>0</v>
      </c>
      <c r="E35" s="164">
        <f>(Bruttoeink!E32*E$11)/1000</f>
        <v>44.11608303249097</v>
      </c>
      <c r="F35" s="164">
        <f>(Bruttoeink!F32*F$11)/1000</f>
        <v>0</v>
      </c>
      <c r="G35" s="164">
        <f>(Bruttoeink!G32*G$11)/1000</f>
        <v>13523.853086642597</v>
      </c>
      <c r="H35" s="166">
        <f>(Bruttoeink!H32*H$11)/1000</f>
        <v>11947.836051</v>
      </c>
      <c r="I35" s="164">
        <f t="shared" si="0"/>
        <v>28764.91039067509</v>
      </c>
      <c r="J35" s="167">
        <f t="shared" si="1"/>
        <v>0.75</v>
      </c>
      <c r="K35" s="164">
        <f t="shared" si="2"/>
        <v>21573.682793006315</v>
      </c>
      <c r="L35" s="168">
        <f t="shared" si="3"/>
        <v>391669.25324800628</v>
      </c>
      <c r="M35" s="145"/>
      <c r="N35" s="163" t="s">
        <v>67</v>
      </c>
      <c r="O35" s="169">
        <v>4599922.8</v>
      </c>
      <c r="P35" s="170">
        <v>0</v>
      </c>
      <c r="Q35" s="168">
        <f>IF(Berechnung_QS!L35=0,O35*P35,0)</f>
        <v>0</v>
      </c>
      <c r="R35" s="148"/>
      <c r="S35" s="171">
        <f>Berechnung_QS!L35+Q35</f>
        <v>391669.25324800628</v>
      </c>
    </row>
    <row r="36" spans="1:19" ht="15.75" customHeight="1" x14ac:dyDescent="0.25">
      <c r="A36" s="152" t="s">
        <v>68</v>
      </c>
      <c r="B36" s="153">
        <f>(Bruttoeink!B33*B$11)/1000</f>
        <v>123370.62853</v>
      </c>
      <c r="C36" s="153">
        <f>(Bruttoeink!C33*C$11)/1000</f>
        <v>5974.8791799999999</v>
      </c>
      <c r="D36" s="154">
        <f>(Bruttoeink!D33*D$11)/1000</f>
        <v>11.890331249999999</v>
      </c>
      <c r="E36" s="153">
        <f>(Bruttoeink!E33*E$11)/1000</f>
        <v>11.616985559566785</v>
      </c>
      <c r="F36" s="153">
        <f>(Bruttoeink!F33*F$11)/1000</f>
        <v>0</v>
      </c>
      <c r="G36" s="153">
        <f>(Bruttoeink!G33*G$11)/1000</f>
        <v>133286.17613718408</v>
      </c>
      <c r="H36" s="155">
        <f>(Bruttoeink!H33*H$11)/1000</f>
        <v>0</v>
      </c>
      <c r="I36" s="153">
        <f t="shared" si="0"/>
        <v>139284.56263399366</v>
      </c>
      <c r="J36" s="156">
        <f t="shared" si="1"/>
        <v>0.75</v>
      </c>
      <c r="K36" s="153">
        <f t="shared" si="2"/>
        <v>104463.42197549524</v>
      </c>
      <c r="L36" s="157">
        <f t="shared" si="3"/>
        <v>227834.05050549522</v>
      </c>
      <c r="M36" s="145"/>
      <c r="N36" s="152" t="s">
        <v>68</v>
      </c>
      <c r="O36" s="158">
        <v>2693122.2</v>
      </c>
      <c r="P36" s="159">
        <v>0</v>
      </c>
      <c r="Q36" s="157">
        <f>IF(Berechnung_QS!L36=0,O36*P36,0)</f>
        <v>0</v>
      </c>
      <c r="R36" s="148"/>
      <c r="S36" s="160">
        <f>Berechnung_QS!L36+Q36</f>
        <v>227834.05050549522</v>
      </c>
    </row>
    <row r="37" spans="1:19" ht="15.75" customHeight="1" x14ac:dyDescent="0.25">
      <c r="A37" s="163" t="s">
        <v>69</v>
      </c>
      <c r="B37" s="164">
        <f>(Bruttoeink!B34*B$11)/1000</f>
        <v>972908.22452499997</v>
      </c>
      <c r="C37" s="164">
        <f>(Bruttoeink!C34*C$11)/1000</f>
        <v>124948.51403999999</v>
      </c>
      <c r="D37" s="165">
        <f>(Bruttoeink!D34*D$11)/1000</f>
        <v>430.79312062499991</v>
      </c>
      <c r="E37" s="164">
        <f>(Bruttoeink!E34*E$11)/1000</f>
        <v>0</v>
      </c>
      <c r="F37" s="164">
        <f>(Bruttoeink!F34*F$11)/1000</f>
        <v>1746667.9664117871</v>
      </c>
      <c r="G37" s="164">
        <f>(Bruttoeink!G34*G$11)/1000</f>
        <v>0</v>
      </c>
      <c r="H37" s="166">
        <f>(Bruttoeink!H34*H$11)/1000</f>
        <v>0</v>
      </c>
      <c r="I37" s="164">
        <f t="shared" si="0"/>
        <v>1872047.2735724121</v>
      </c>
      <c r="J37" s="167">
        <f t="shared" si="1"/>
        <v>0.75</v>
      </c>
      <c r="K37" s="164">
        <f t="shared" si="2"/>
        <v>1404035.455179309</v>
      </c>
      <c r="L37" s="168">
        <f t="shared" si="3"/>
        <v>2376943.679704309</v>
      </c>
      <c r="M37" s="145"/>
      <c r="N37" s="163" t="s">
        <v>69</v>
      </c>
      <c r="O37" s="169">
        <v>11897753.5</v>
      </c>
      <c r="P37" s="170">
        <v>0</v>
      </c>
      <c r="Q37" s="168">
        <f>IF(Berechnung_QS!L37=0,O37*P37,0)</f>
        <v>0</v>
      </c>
      <c r="R37" s="148"/>
      <c r="S37" s="171">
        <f>Berechnung_QS!L37+Q37</f>
        <v>2376943.679704309</v>
      </c>
    </row>
    <row r="38" spans="1:19" ht="15.75" customHeight="1" x14ac:dyDescent="0.25">
      <c r="A38" s="172" t="s">
        <v>70</v>
      </c>
      <c r="B38" s="173">
        <f>(Bruttoeink!B35*B$11)/1000</f>
        <v>27069.482954999999</v>
      </c>
      <c r="C38" s="173">
        <f>(Bruttoeink!C35*C$11)/1000</f>
        <v>2309.06782165</v>
      </c>
      <c r="D38" s="174">
        <f>(Bruttoeink!D35*D$11)/1000</f>
        <v>0</v>
      </c>
      <c r="E38" s="173">
        <f>(Bruttoeink!E35*E$11)/1000</f>
        <v>74.965938628158838</v>
      </c>
      <c r="F38" s="173">
        <f>(Bruttoeink!F35*F$11)/1000</f>
        <v>0</v>
      </c>
      <c r="G38" s="173">
        <f>(Bruttoeink!G35*G$11)/1000</f>
        <v>68749.354169675076</v>
      </c>
      <c r="H38" s="175">
        <f>(Bruttoeink!H35*H$11)/1000</f>
        <v>0</v>
      </c>
      <c r="I38" s="173">
        <f t="shared" si="0"/>
        <v>71133.387929953242</v>
      </c>
      <c r="J38" s="176">
        <f t="shared" si="1"/>
        <v>0.75</v>
      </c>
      <c r="K38" s="173">
        <f t="shared" si="2"/>
        <v>53350.040947464935</v>
      </c>
      <c r="L38" s="177">
        <f t="shared" si="3"/>
        <v>80419.523902464935</v>
      </c>
      <c r="M38" s="145"/>
      <c r="N38" s="172" t="s">
        <v>70</v>
      </c>
      <c r="O38" s="178">
        <v>894268.8</v>
      </c>
      <c r="P38" s="179">
        <v>0</v>
      </c>
      <c r="Q38" s="177">
        <f>IF(Berechnung_QS!L38=0,O38*P38,0)</f>
        <v>0</v>
      </c>
      <c r="R38" s="148"/>
      <c r="S38" s="180">
        <f>Berechnung_QS!L38+Q38</f>
        <v>80419.523902464935</v>
      </c>
    </row>
    <row r="39" spans="1:19" ht="15.75" customHeight="1" x14ac:dyDescent="0.25">
      <c r="A39" s="181" t="s">
        <v>71</v>
      </c>
      <c r="B39" s="182">
        <f t="shared" ref="B39:I39" si="4">SUM(B13:B38)</f>
        <v>8055235.3676128993</v>
      </c>
      <c r="C39" s="182">
        <f t="shared" si="4"/>
        <v>715697.71525394998</v>
      </c>
      <c r="D39" s="183">
        <f t="shared" si="4"/>
        <v>177363.995558575</v>
      </c>
      <c r="E39" s="182">
        <f t="shared" si="4"/>
        <v>643284.72868808662</v>
      </c>
      <c r="F39" s="182">
        <f t="shared" si="4"/>
        <v>1746667.9664117871</v>
      </c>
      <c r="G39" s="182">
        <f t="shared" si="4"/>
        <v>935640.20679693122</v>
      </c>
      <c r="H39" s="184">
        <f t="shared" si="4"/>
        <v>586215.60642900004</v>
      </c>
      <c r="I39" s="182">
        <f t="shared" si="4"/>
        <v>4804870.2191383298</v>
      </c>
      <c r="J39" s="185">
        <v>0.75</v>
      </c>
      <c r="K39" s="182">
        <f t="shared" si="2"/>
        <v>3603652.6643537474</v>
      </c>
      <c r="L39" s="186">
        <f t="shared" si="3"/>
        <v>11658888.031966647</v>
      </c>
      <c r="M39" s="145"/>
      <c r="N39" s="181" t="s">
        <v>71</v>
      </c>
      <c r="O39" s="187">
        <f>SUM(O13:O38)</f>
        <v>164431392.30000001</v>
      </c>
      <c r="P39" s="188"/>
      <c r="Q39" s="186">
        <f>SUM(Q13:Q38)</f>
        <v>0</v>
      </c>
      <c r="R39" s="148"/>
      <c r="S39" s="189">
        <f>SUM(S13:S38)</f>
        <v>11658888.031966645</v>
      </c>
    </row>
  </sheetData>
  <mergeCells count="15">
    <mergeCell ref="A4:L4"/>
    <mergeCell ref="N4:Q4"/>
    <mergeCell ref="B9:B10"/>
    <mergeCell ref="C9:C10"/>
    <mergeCell ref="I9:I10"/>
    <mergeCell ref="J9:J10"/>
    <mergeCell ref="L9:L10"/>
    <mergeCell ref="U11:V11"/>
    <mergeCell ref="D9:H9"/>
    <mergeCell ref="K9:K10"/>
    <mergeCell ref="O8:O10"/>
    <mergeCell ref="U10:V10"/>
    <mergeCell ref="P8:P10"/>
    <mergeCell ref="Q8:Q10"/>
    <mergeCell ref="S8:S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2011-12-23T16:58:01Z</cp:lastPrinted>
  <dcterms:created xsi:type="dcterms:W3CDTF">2006-06-26T16:01:42Z</dcterms:created>
  <dcterms:modified xsi:type="dcterms:W3CDTF">2015-06-09T11:37:23Z</dcterms:modified>
</cp:coreProperties>
</file>