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1" i="4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U10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/>
  <c r="Q23"/>
  <c r="S23"/>
  <c r="Q15"/>
  <c r="S15"/>
  <c r="Q34"/>
  <c r="S34" s="1"/>
  <c r="Q26"/>
  <c r="S26" s="1"/>
  <c r="Q18"/>
  <c r="S18" s="1"/>
  <c r="Q33"/>
  <c r="S33" s="1"/>
  <c r="Q25"/>
  <c r="S25" s="1"/>
  <c r="Q17"/>
  <c r="S17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<sst xmlns="http://schemas.openxmlformats.org/spreadsheetml/2006/main" count="219" uniqueCount="107">
  <si>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</si>
  <si>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</si>
  <si>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</si>
  <si>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</si>
  <si>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</si>
  <si>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</si>
  <si>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</si>
  <si>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</si>
  <si>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</si>
  <si>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</si>
  <si>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</si>
  <si>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</si>
  <si>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</si>
  <si>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</si>
  <si>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</si>
  <si>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</si>
  <si>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</si>
  <si>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</si>
  <si>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</si>
  <si>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</si>
  <si>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</si>
  <si>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</si>
  <si>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</si>
  <si>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</si>
  <si>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</si>
  <si>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</si>
  <si>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</si>
  <si>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</si>
  <si>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</si>
  <si>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</si>
  <si>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</si>
  <si>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</si>
  <si>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</si>
  <si>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</si>
  <si>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</si>
  <si>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</si>
  <si>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</si>
  <si>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</si>
  <si>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</si>
  <si>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</si>
  <si>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</si>
  <si>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</si>
  <si>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</si>
  <si>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</si>
  <si>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</si>
  <si>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</si>
  <si>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</si>
  <si>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</si>
  <si>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</si>
  <si>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</si>
  <si>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</si>
  <si>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</si>
  <si>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</si>
  <si>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</si>
  <si>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</si>
  <si>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</si>
  <si>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</si>
  <si>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</si>
  <si>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</si>
  <si>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</si>
  <si>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</si>
  <si>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</si>
  <si>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</si>
  <si>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</si>
  <si>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</si>
  <si>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</si>
  <si>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</si>
  <si>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</si>
  <si>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</si>
  <si>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</si>
  <si>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</si>
  <si>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</si>
  <si>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</si>
  <si>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</si>
  <si>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</si>
  <si>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</si>
  <si>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</si>
  <si>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</si>
  <si>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</si>
  <si>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</si>
  <si>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</si>
  <si>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</si>
  <si>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</si>
  <si>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</si>
  <si>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</si>
  <si>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</si>
  <si>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</si>
  <si>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</si>
  <si>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</si>
  <si>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</si>
  <si>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</si>
  <si>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</si>
  <si>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</si>
  <si>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</si>
  <si>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</si>
  <si>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</si>
  <si>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</si>
  <si>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</si>
  <si>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</si>
  <si>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</si>
  <si>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</si>
  <si>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</si>
  <si>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</si>
  <si>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</si>
  <si>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</si>
  <si>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</si>
  <si>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 xml:space="preserve">* Korrektur 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</si>
</sst>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6" fillId="2" borderId="20" xfId="0" applyFont="1" applyFill="1" applyBorder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0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2006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2011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2011</v>
      </c>
    </row>
    <row r="31" spans="2:3">
      <c r="B31" s="10" t="s">
        <v>11</v>
      </c>
      <c r="C31" s="11">
        <v>2006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2006</v>
      </c>
      <c r="B1" s="13"/>
      <c r="C1" s="13"/>
      <c r="J1" s="14"/>
    </row>
    <row r="2" spans="1:10" ht="31.5" customHeight="1">
      <c r="A2" s="15" t="str">
        <f>"Referenzjahr "&amp;Info!C30</f>
        <v>Referenzjahr 2011</v>
      </c>
      <c r="B2" s="16"/>
      <c r="C2" s="16"/>
      <c r="D2" s="17"/>
      <c r="J2" s="18" t="str">
        <f>Info!C28</f>
        <v>FA_2011_20120427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3369325434</v>
      </c>
      <c r="C10" s="52">
        <v>17365700</v>
      </c>
      <c r="D10" s="53">
        <v>0</v>
      </c>
      <c r="E10" s="54">
        <v>337200493</v>
      </c>
      <c r="F10" s="54">
        <v>0</v>
      </c>
      <c r="G10" s="54">
        <v>0</v>
      </c>
      <c r="H10" s="55">
        <v>0</v>
      </c>
      <c r="I10" s="56">
        <f t="shared" ref="I10:I35" si="0">SUM(C10:H10)</f>
        <v>354566193</v>
      </c>
      <c r="J10" s="57">
        <f t="shared" ref="J10:J36" si="1">SUM(B10:H10)</f>
        <v>3723891627</v>
      </c>
    </row>
    <row r="11" spans="1:10">
      <c r="A11" s="58" t="s">
        <v>46</v>
      </c>
      <c r="B11" s="59">
        <v>1132803566</v>
      </c>
      <c r="C11" s="60">
        <v>29493746</v>
      </c>
      <c r="D11" s="61">
        <v>1203321</v>
      </c>
      <c r="E11" s="59">
        <v>3834418</v>
      </c>
      <c r="F11" s="59">
        <v>0</v>
      </c>
      <c r="G11" s="59">
        <v>70531660</v>
      </c>
      <c r="H11" s="60">
        <v>0</v>
      </c>
      <c r="I11" s="62">
        <f t="shared" si="0"/>
        <v>105063145</v>
      </c>
      <c r="J11" s="63">
        <f t="shared" si="1"/>
        <v>1237866711</v>
      </c>
    </row>
    <row r="12" spans="1:10">
      <c r="A12" s="64" t="s">
        <v>47</v>
      </c>
      <c r="B12" s="54">
        <v>503539434</v>
      </c>
      <c r="C12" s="55">
        <v>0</v>
      </c>
      <c r="D12" s="53">
        <v>0</v>
      </c>
      <c r="E12" s="54">
        <v>3609067</v>
      </c>
      <c r="F12" s="54">
        <v>0</v>
      </c>
      <c r="G12" s="54">
        <v>0</v>
      </c>
      <c r="H12" s="55">
        <v>0</v>
      </c>
      <c r="I12" s="65">
        <f t="shared" si="0"/>
        <v>3609067</v>
      </c>
      <c r="J12" s="66">
        <f t="shared" si="1"/>
        <v>507148501</v>
      </c>
    </row>
    <row r="13" spans="1:10">
      <c r="A13" s="58" t="s">
        <v>48</v>
      </c>
      <c r="B13" s="59">
        <v>49091925</v>
      </c>
      <c r="C13" s="60">
        <v>0</v>
      </c>
      <c r="D13" s="61">
        <v>5061513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5061513</v>
      </c>
      <c r="J13" s="63">
        <f t="shared" si="1"/>
        <v>54153438</v>
      </c>
    </row>
    <row r="14" spans="1:10">
      <c r="A14" s="64" t="s">
        <v>49</v>
      </c>
      <c r="B14" s="54">
        <v>191343665</v>
      </c>
      <c r="C14" s="55">
        <v>43101005</v>
      </c>
      <c r="D14" s="53">
        <v>0</v>
      </c>
      <c r="E14" s="54">
        <v>394753</v>
      </c>
      <c r="F14" s="54">
        <v>0</v>
      </c>
      <c r="G14" s="54">
        <v>0</v>
      </c>
      <c r="H14" s="55">
        <v>0</v>
      </c>
      <c r="I14" s="65">
        <f t="shared" si="0"/>
        <v>43495758</v>
      </c>
      <c r="J14" s="66">
        <f t="shared" si="1"/>
        <v>234839423</v>
      </c>
    </row>
    <row r="15" spans="1:10">
      <c r="A15" s="58" t="s">
        <v>50</v>
      </c>
      <c r="B15" s="59">
        <v>58845200.049999997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58845200.049999997</v>
      </c>
    </row>
    <row r="16" spans="1:10">
      <c r="A16" s="64" t="s">
        <v>51</v>
      </c>
      <c r="B16" s="54">
        <v>56366387</v>
      </c>
      <c r="C16" s="55">
        <v>0</v>
      </c>
      <c r="D16" s="53">
        <v>0</v>
      </c>
      <c r="E16" s="54">
        <v>118530</v>
      </c>
      <c r="F16" s="54">
        <v>0</v>
      </c>
      <c r="G16" s="54">
        <v>0</v>
      </c>
      <c r="H16" s="55">
        <v>0</v>
      </c>
      <c r="I16" s="65">
        <f t="shared" si="0"/>
        <v>118530</v>
      </c>
      <c r="J16" s="66">
        <f t="shared" si="1"/>
        <v>56484917</v>
      </c>
    </row>
    <row r="17" spans="1:10">
      <c r="A17" s="58" t="s">
        <v>52</v>
      </c>
      <c r="B17" s="59">
        <v>41149607.75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41149607.75</v>
      </c>
    </row>
    <row r="18" spans="1:10">
      <c r="A18" s="64" t="s">
        <v>53</v>
      </c>
      <c r="B18" s="54">
        <v>341035173</v>
      </c>
      <c r="C18" s="55">
        <v>1466959</v>
      </c>
      <c r="D18" s="53">
        <v>0</v>
      </c>
      <c r="E18" s="54">
        <v>1604091</v>
      </c>
      <c r="F18" s="54">
        <v>0</v>
      </c>
      <c r="G18" s="54">
        <v>0</v>
      </c>
      <c r="H18" s="55">
        <v>0</v>
      </c>
      <c r="I18" s="65">
        <f t="shared" si="0"/>
        <v>3071050</v>
      </c>
      <c r="J18" s="66">
        <f t="shared" si="1"/>
        <v>344106223</v>
      </c>
    </row>
    <row r="19" spans="1:10">
      <c r="A19" s="58" t="s">
        <v>54</v>
      </c>
      <c r="B19" s="59">
        <v>393014705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393014705</v>
      </c>
    </row>
    <row r="20" spans="1:10">
      <c r="A20" s="64" t="s">
        <v>55</v>
      </c>
      <c r="B20" s="54">
        <v>249559244</v>
      </c>
      <c r="C20" s="55">
        <v>2275028</v>
      </c>
      <c r="D20" s="53">
        <v>883407</v>
      </c>
      <c r="E20" s="54">
        <v>23207272</v>
      </c>
      <c r="F20" s="54">
        <v>0</v>
      </c>
      <c r="G20" s="54">
        <v>72791988</v>
      </c>
      <c r="H20" s="55">
        <v>0</v>
      </c>
      <c r="I20" s="65">
        <f t="shared" si="0"/>
        <v>99157695</v>
      </c>
      <c r="J20" s="66">
        <f t="shared" si="1"/>
        <v>348716939</v>
      </c>
    </row>
    <row r="21" spans="1:10">
      <c r="A21" s="58" t="s">
        <v>56</v>
      </c>
      <c r="B21" s="59">
        <v>584578125.25</v>
      </c>
      <c r="C21" s="60">
        <v>123691870.7</v>
      </c>
      <c r="D21" s="61">
        <v>0</v>
      </c>
      <c r="E21" s="59">
        <v>1099184221.7</v>
      </c>
      <c r="F21" s="59">
        <v>0</v>
      </c>
      <c r="G21" s="59">
        <v>1379007592</v>
      </c>
      <c r="H21" s="60">
        <v>0</v>
      </c>
      <c r="I21" s="62">
        <f t="shared" si="0"/>
        <v>2601883684.4000001</v>
      </c>
      <c r="J21" s="63">
        <f t="shared" si="1"/>
        <v>3186461809.6500001</v>
      </c>
    </row>
    <row r="22" spans="1:10">
      <c r="A22" s="64" t="s">
        <v>57</v>
      </c>
      <c r="B22" s="54">
        <v>304003887</v>
      </c>
      <c r="C22" s="55">
        <v>46535994</v>
      </c>
      <c r="D22" s="53">
        <v>0</v>
      </c>
      <c r="E22" s="54">
        <v>430873019</v>
      </c>
      <c r="F22" s="54">
        <v>0</v>
      </c>
      <c r="G22" s="54">
        <v>840573674</v>
      </c>
      <c r="H22" s="55">
        <v>0</v>
      </c>
      <c r="I22" s="65">
        <f t="shared" si="0"/>
        <v>1317982687</v>
      </c>
      <c r="J22" s="66">
        <f t="shared" si="1"/>
        <v>1621986574</v>
      </c>
    </row>
    <row r="23" spans="1:10">
      <c r="A23" s="58" t="s">
        <v>58</v>
      </c>
      <c r="B23" s="59">
        <v>184089301.40000001</v>
      </c>
      <c r="C23" s="60">
        <v>6166601.4000000004</v>
      </c>
      <c r="D23" s="61">
        <v>0</v>
      </c>
      <c r="E23" s="59">
        <v>275788519.29000002</v>
      </c>
      <c r="F23" s="59">
        <v>0</v>
      </c>
      <c r="G23" s="59">
        <v>0</v>
      </c>
      <c r="H23" s="60">
        <v>0</v>
      </c>
      <c r="I23" s="62">
        <f t="shared" si="0"/>
        <v>281955120.69</v>
      </c>
      <c r="J23" s="63">
        <f t="shared" si="1"/>
        <v>466044422.09000003</v>
      </c>
    </row>
    <row r="24" spans="1:10">
      <c r="A24" s="64" t="s">
        <v>59</v>
      </c>
      <c r="B24" s="54">
        <v>64511597.299999997</v>
      </c>
      <c r="C24" s="55">
        <v>941872</v>
      </c>
      <c r="D24" s="53">
        <v>10823986.73</v>
      </c>
      <c r="E24" s="54">
        <v>1968322.15</v>
      </c>
      <c r="F24" s="54">
        <v>0</v>
      </c>
      <c r="G24" s="54">
        <v>0</v>
      </c>
      <c r="H24" s="55">
        <v>0</v>
      </c>
      <c r="I24" s="65">
        <f t="shared" si="0"/>
        <v>13734180.880000001</v>
      </c>
      <c r="J24" s="66">
        <f t="shared" si="1"/>
        <v>78245778.180000007</v>
      </c>
    </row>
    <row r="25" spans="1:10">
      <c r="A25" s="58" t="s">
        <v>60</v>
      </c>
      <c r="B25" s="59">
        <v>16574734.35</v>
      </c>
      <c r="C25" s="60">
        <v>0</v>
      </c>
      <c r="D25" s="61">
        <v>883176.7</v>
      </c>
      <c r="E25" s="59">
        <v>508197.5</v>
      </c>
      <c r="F25" s="59">
        <v>0</v>
      </c>
      <c r="G25" s="59">
        <v>0</v>
      </c>
      <c r="H25" s="60">
        <v>0</v>
      </c>
      <c r="I25" s="62">
        <f t="shared" si="0"/>
        <v>1391374.2</v>
      </c>
      <c r="J25" s="63">
        <f t="shared" si="1"/>
        <v>17966108.550000001</v>
      </c>
    </row>
    <row r="26" spans="1:10">
      <c r="A26" s="64" t="s">
        <v>61</v>
      </c>
      <c r="B26" s="54">
        <v>635402554.21000004</v>
      </c>
      <c r="C26" s="55">
        <v>37275980.359999999</v>
      </c>
      <c r="D26" s="53">
        <v>385676717.68000001</v>
      </c>
      <c r="E26" s="54">
        <v>45902756.700000003</v>
      </c>
      <c r="F26" s="54">
        <v>0</v>
      </c>
      <c r="G26" s="54">
        <v>0</v>
      </c>
      <c r="H26" s="55">
        <v>0</v>
      </c>
      <c r="I26" s="65">
        <f t="shared" si="0"/>
        <v>468855454.74000001</v>
      </c>
      <c r="J26" s="66">
        <f t="shared" si="1"/>
        <v>1104258008.95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850999148</v>
      </c>
      <c r="C28" s="55">
        <v>0</v>
      </c>
      <c r="D28" s="53">
        <v>0</v>
      </c>
      <c r="E28" s="54">
        <v>589455970</v>
      </c>
      <c r="F28" s="54">
        <v>0</v>
      </c>
      <c r="G28" s="54">
        <v>0</v>
      </c>
      <c r="H28" s="55">
        <v>0</v>
      </c>
      <c r="I28" s="65">
        <f t="shared" si="0"/>
        <v>589455970</v>
      </c>
      <c r="J28" s="66">
        <f t="shared" si="1"/>
        <v>1440455118</v>
      </c>
    </row>
    <row r="29" spans="1:10">
      <c r="A29" s="58" t="s">
        <v>64</v>
      </c>
      <c r="B29" s="59">
        <v>335744797.81</v>
      </c>
      <c r="C29" s="60">
        <v>7592248.4500000002</v>
      </c>
      <c r="D29" s="61">
        <v>14829671.82</v>
      </c>
      <c r="E29" s="59">
        <v>190749777.56999999</v>
      </c>
      <c r="F29" s="59">
        <v>0</v>
      </c>
      <c r="G29" s="59">
        <v>0</v>
      </c>
      <c r="H29" s="60">
        <v>0</v>
      </c>
      <c r="I29" s="62">
        <f t="shared" si="0"/>
        <v>213171697.84</v>
      </c>
      <c r="J29" s="63">
        <f t="shared" si="1"/>
        <v>548916495.64999998</v>
      </c>
    </row>
    <row r="30" spans="1:10">
      <c r="A30" s="64" t="s">
        <v>65</v>
      </c>
      <c r="B30" s="54">
        <v>776485766</v>
      </c>
      <c r="C30" s="55">
        <v>68973773</v>
      </c>
      <c r="D30" s="53">
        <v>0</v>
      </c>
      <c r="E30" s="54">
        <v>0</v>
      </c>
      <c r="F30" s="54">
        <v>0</v>
      </c>
      <c r="G30" s="54">
        <v>0</v>
      </c>
      <c r="H30" s="55">
        <v>2230152013</v>
      </c>
      <c r="I30" s="65">
        <f t="shared" si="0"/>
        <v>2299125786</v>
      </c>
      <c r="J30" s="66">
        <f t="shared" si="1"/>
        <v>3075611552</v>
      </c>
    </row>
    <row r="31" spans="1:10">
      <c r="A31" s="58" t="s">
        <v>66</v>
      </c>
      <c r="B31" s="59">
        <v>1527834804.45</v>
      </c>
      <c r="C31" s="60">
        <v>0</v>
      </c>
      <c r="D31" s="61">
        <v>0</v>
      </c>
      <c r="E31" s="59">
        <v>0</v>
      </c>
      <c r="F31" s="59">
        <v>0</v>
      </c>
      <c r="G31" s="59">
        <v>1067435974</v>
      </c>
      <c r="H31" s="60">
        <v>0</v>
      </c>
      <c r="I31" s="62">
        <f t="shared" si="0"/>
        <v>1067435974</v>
      </c>
      <c r="J31" s="63">
        <f t="shared" si="1"/>
        <v>2595270778.4499998</v>
      </c>
    </row>
    <row r="32" spans="1:10">
      <c r="A32" s="64" t="s">
        <v>67</v>
      </c>
      <c r="B32" s="54">
        <v>680458210.62</v>
      </c>
      <c r="C32" s="55">
        <v>3220872.4</v>
      </c>
      <c r="D32" s="53">
        <v>0</v>
      </c>
      <c r="E32" s="54">
        <v>0</v>
      </c>
      <c r="F32" s="54">
        <v>0</v>
      </c>
      <c r="G32" s="54">
        <v>51176673.659999996</v>
      </c>
      <c r="H32" s="55">
        <v>41647338.719999999</v>
      </c>
      <c r="I32" s="65">
        <f t="shared" si="0"/>
        <v>96044884.780000001</v>
      </c>
      <c r="J32" s="66">
        <f t="shared" si="1"/>
        <v>776503095.39999998</v>
      </c>
    </row>
    <row r="33" spans="1:10">
      <c r="A33" s="58" t="s">
        <v>68</v>
      </c>
      <c r="B33" s="59">
        <v>324825307.00999999</v>
      </c>
      <c r="C33" s="60">
        <v>4017431</v>
      </c>
      <c r="D33" s="61">
        <v>0</v>
      </c>
      <c r="E33" s="59">
        <v>0</v>
      </c>
      <c r="F33" s="59">
        <v>0</v>
      </c>
      <c r="G33" s="59">
        <v>514971692</v>
      </c>
      <c r="H33" s="60">
        <v>0</v>
      </c>
      <c r="I33" s="62">
        <f t="shared" si="0"/>
        <v>518989123</v>
      </c>
      <c r="J33" s="63">
        <f t="shared" si="1"/>
        <v>843814430.00999999</v>
      </c>
    </row>
    <row r="34" spans="1:10">
      <c r="A34" s="64" t="s">
        <v>69</v>
      </c>
      <c r="B34" s="54">
        <v>1571500143</v>
      </c>
      <c r="C34" s="55">
        <v>0</v>
      </c>
      <c r="D34" s="53">
        <v>0</v>
      </c>
      <c r="E34" s="54">
        <v>0</v>
      </c>
      <c r="F34" s="54">
        <v>5086504625</v>
      </c>
      <c r="G34" s="54">
        <v>0</v>
      </c>
      <c r="H34" s="55">
        <v>0</v>
      </c>
      <c r="I34" s="65">
        <f t="shared" si="0"/>
        <v>5086504625</v>
      </c>
      <c r="J34" s="66">
        <f t="shared" si="1"/>
        <v>6658004768</v>
      </c>
    </row>
    <row r="35" spans="1:10">
      <c r="A35" s="67" t="s">
        <v>105</v>
      </c>
      <c r="B35" s="189">
        <v>57365742.700000003</v>
      </c>
      <c r="C35" s="68">
        <v>2723288.4</v>
      </c>
      <c r="D35" s="61">
        <v>0</v>
      </c>
      <c r="E35" s="59">
        <v>2439987.4</v>
      </c>
      <c r="F35" s="59">
        <v>0</v>
      </c>
      <c r="G35" s="59">
        <v>302877888</v>
      </c>
      <c r="H35" s="60">
        <v>0</v>
      </c>
      <c r="I35" s="62">
        <f t="shared" si="0"/>
        <v>308041163.80000001</v>
      </c>
      <c r="J35" s="190">
        <f t="shared" si="1"/>
        <v>365406906.5</v>
      </c>
    </row>
    <row r="36" spans="1:10">
      <c r="A36" s="5" t="s">
        <v>71</v>
      </c>
      <c r="B36" s="69">
        <f t="shared" ref="B36:I36" si="2">SUM(B10:B35)</f>
        <v>14300448459.900003</v>
      </c>
      <c r="C36" s="70">
        <f t="shared" si="2"/>
        <v>394842369.70999992</v>
      </c>
      <c r="D36" s="71">
        <f t="shared" si="2"/>
        <v>419361793.93000001</v>
      </c>
      <c r="E36" s="69">
        <f t="shared" si="2"/>
        <v>3006839395.3100004</v>
      </c>
      <c r="F36" s="69">
        <f t="shared" si="2"/>
        <v>5086504625</v>
      </c>
      <c r="G36" s="69">
        <f t="shared" si="2"/>
        <v>4299367141.6599998</v>
      </c>
      <c r="H36" s="70">
        <f t="shared" si="2"/>
        <v>2271799351.7199998</v>
      </c>
      <c r="I36" s="71">
        <f t="shared" si="2"/>
        <v>15478714677.33</v>
      </c>
      <c r="J36" s="72">
        <f t="shared" si="1"/>
        <v>29779163137.230003</v>
      </c>
    </row>
    <row r="37" spans="1:10">
      <c r="A37" s="188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2006</v>
      </c>
    </row>
    <row r="2" spans="1:4" ht="15.75" customHeight="1">
      <c r="A2" s="74" t="str">
        <f>Bruttoeink!A2</f>
        <v>Referenzjahr 2011</v>
      </c>
    </row>
    <row r="3" spans="1:4" ht="33" customHeight="1">
      <c r="C3" s="75" t="str">
        <f>Info!$C$28</f>
        <v>FA_2011_20120427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361563831</v>
      </c>
      <c r="D5" s="81"/>
    </row>
    <row r="6" spans="1:4">
      <c r="A6" s="82" t="s">
        <v>76</v>
      </c>
      <c r="B6" s="83" t="str">
        <f>"ASG_"&amp;Info!C30&amp;"_"&amp;Info!C31&amp;".xlsx"</f>
        <v>ASG_2011_2006.xlsx</v>
      </c>
      <c r="C6" s="84">
        <f>Berechnung_QS!O39</f>
        <v>141290437.80000001</v>
      </c>
      <c r="D6" s="81"/>
    </row>
    <row r="7" spans="1:4" ht="24.75" customHeight="1">
      <c r="A7" s="85" t="s">
        <v>77</v>
      </c>
      <c r="B7" s="85"/>
      <c r="C7" s="86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2006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2011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FA_2011_20120427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2006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FA_2011_20120427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Steuerertrag (SST) "&amp;Info!C30-1</f>
        <v xml:space="preserve"> Standardisierter Steuerertrag (SST) 2010</v>
      </c>
      <c r="V10" s="225"/>
    </row>
    <row r="11" spans="1:22" s="123" customFormat="1" ht="14.25" customHeight="1">
      <c r="A11" s="124" t="s">
        <v>102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0.16666666666666666</v>
      </c>
      <c r="F11" s="125">
        <f>gamma-0.035/sst</f>
        <v>0.26137037037037036</v>
      </c>
      <c r="G11" s="125">
        <f>0.045/sst</f>
        <v>0.16666666666666666</v>
      </c>
      <c r="H11" s="127">
        <f>0.6*gamma</f>
        <v>0.2346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ASG_2011_2006.xlsx</v>
      </c>
      <c r="R11" s="131"/>
      <c r="S11" s="132"/>
      <c r="U11" s="219" t="str">
        <f>"Quelle: RA_"&amp;Info!C30-1&amp;".xlsx"</f>
        <v>Quelle: RA_2010.xlsx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1317406.2446940001</v>
      </c>
      <c r="C13" s="139">
        <f>(Bruttoeink!C10*C$11)/1000</f>
        <v>6789.9886999999999</v>
      </c>
      <c r="D13" s="140">
        <f>(Bruttoeink!D10*D$11)/1000</f>
        <v>0</v>
      </c>
      <c r="E13" s="139">
        <f>(Bruttoeink!E10*E$11)/1000</f>
        <v>56200.082166666667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62990.070866666669</v>
      </c>
      <c r="J13" s="142">
        <f t="shared" ref="J13:J38" si="1">$J$39</f>
        <v>1</v>
      </c>
      <c r="K13" s="139">
        <f t="shared" ref="K13:K39" si="2">I13*J13</f>
        <v>62990.070866666669</v>
      </c>
      <c r="L13" s="143">
        <f t="shared" ref="L13:L39" si="3">K13+B13</f>
        <v>1380396.3155606668</v>
      </c>
      <c r="M13" s="144"/>
      <c r="N13" s="138" t="s">
        <v>45</v>
      </c>
      <c r="O13" s="145">
        <v>30259478.899999999</v>
      </c>
      <c r="P13" s="146">
        <v>5.8217239323416201E-2</v>
      </c>
      <c r="Q13" s="143">
        <f>IF(Berechnung_QS!L13=0,O13*P13,0)</f>
        <v>0</v>
      </c>
      <c r="R13" s="147"/>
      <c r="S13" s="148">
        <f>Berechnung_QS!L13+Q13</f>
        <v>1380396.3155606668</v>
      </c>
      <c r="U13" s="149" t="s">
        <v>103</v>
      </c>
      <c r="V13" s="150">
        <v>0.27006259437880697</v>
      </c>
    </row>
    <row r="14" spans="1:22" ht="15.75" customHeight="1">
      <c r="A14" s="151" t="s">
        <v>46</v>
      </c>
      <c r="B14" s="152">
        <f>(Bruttoeink!B11*B$11)/1000</f>
        <v>442926.19430600002</v>
      </c>
      <c r="C14" s="152">
        <f>(Bruttoeink!C11*C$11)/1000</f>
        <v>11532.054686000001</v>
      </c>
      <c r="D14" s="153">
        <f>(Bruttoeink!D11*D$11)/1000</f>
        <v>411.68619712499998</v>
      </c>
      <c r="E14" s="152">
        <f>(Bruttoeink!E11*E$11)/1000</f>
        <v>639.06966666666665</v>
      </c>
      <c r="F14" s="152">
        <f>(Bruttoeink!F11*F$11)/1000</f>
        <v>0</v>
      </c>
      <c r="G14" s="152">
        <f>(Bruttoeink!G11*G$11)/1000</f>
        <v>11755.276666666667</v>
      </c>
      <c r="H14" s="154">
        <f>(Bruttoeink!H11*H$11)/1000</f>
        <v>0</v>
      </c>
      <c r="I14" s="152">
        <f t="shared" si="0"/>
        <v>24338.087216458334</v>
      </c>
      <c r="J14" s="155">
        <f t="shared" si="1"/>
        <v>1</v>
      </c>
      <c r="K14" s="152">
        <f t="shared" si="2"/>
        <v>24338.087216458334</v>
      </c>
      <c r="L14" s="156">
        <f t="shared" si="3"/>
        <v>467264.28152245836</v>
      </c>
      <c r="M14" s="144"/>
      <c r="N14" s="151" t="s">
        <v>46</v>
      </c>
      <c r="O14" s="157">
        <v>14276312.800000001</v>
      </c>
      <c r="P14" s="158">
        <v>5.5400214877578603E-2</v>
      </c>
      <c r="Q14" s="156">
        <f>IF(Berechnung_QS!L14=0,O14*P14,0)</f>
        <v>0</v>
      </c>
      <c r="R14" s="147"/>
      <c r="S14" s="159">
        <f>Berechnung_QS!L14+Q14</f>
        <v>467264.28152245836</v>
      </c>
      <c r="U14" s="160" t="s">
        <v>104</v>
      </c>
      <c r="V14" s="161">
        <f>ROUND(V13,3)</f>
        <v>0.27</v>
      </c>
    </row>
    <row r="15" spans="1:22" ht="15.75" customHeight="1">
      <c r="A15" s="162" t="s">
        <v>47</v>
      </c>
      <c r="B15" s="163">
        <f>(Bruttoeink!B12*B$11)/1000</f>
        <v>196883.91869399999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601.51116666666667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601.51116666666667</v>
      </c>
      <c r="J15" s="166">
        <f t="shared" si="1"/>
        <v>1</v>
      </c>
      <c r="K15" s="163">
        <f t="shared" si="2"/>
        <v>601.51116666666667</v>
      </c>
      <c r="L15" s="167">
        <f t="shared" si="3"/>
        <v>197485.42986066666</v>
      </c>
      <c r="M15" s="144"/>
      <c r="N15" s="162" t="s">
        <v>47</v>
      </c>
      <c r="O15" s="168">
        <v>5643478.5999999996</v>
      </c>
      <c r="P15" s="169">
        <v>5.7548908323003002E-2</v>
      </c>
      <c r="Q15" s="167">
        <f>IF(Berechnung_QS!L15=0,O15*P15,0)</f>
        <v>0</v>
      </c>
      <c r="R15" s="147"/>
      <c r="S15" s="170">
        <f>Berechnung_QS!L15+Q15</f>
        <v>197485.42986066666</v>
      </c>
    </row>
    <row r="16" spans="1:22" ht="15.75" customHeight="1">
      <c r="A16" s="151" t="s">
        <v>48</v>
      </c>
      <c r="B16" s="152">
        <f>(Bruttoeink!B13*B$11)/1000</f>
        <v>19194.942675000002</v>
      </c>
      <c r="C16" s="152">
        <f>(Bruttoeink!C13*C$11)/1000</f>
        <v>0</v>
      </c>
      <c r="D16" s="153">
        <f>(Bruttoeink!D13*D$11)/1000</f>
        <v>1731.6701351250001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1731.6701351250001</v>
      </c>
      <c r="J16" s="155">
        <f t="shared" si="1"/>
        <v>1</v>
      </c>
      <c r="K16" s="152">
        <f t="shared" si="2"/>
        <v>1731.6701351250001</v>
      </c>
      <c r="L16" s="156">
        <f t="shared" si="3"/>
        <v>20926.612810125003</v>
      </c>
      <c r="M16" s="144"/>
      <c r="N16" s="151" t="s">
        <v>48</v>
      </c>
      <c r="O16" s="157">
        <v>405598.8</v>
      </c>
      <c r="P16" s="158">
        <v>6.5605295266190397E-2</v>
      </c>
      <c r="Q16" s="156">
        <f>IF(Berechnung_QS!L16=0,O16*P16,0)</f>
        <v>0</v>
      </c>
      <c r="R16" s="147"/>
      <c r="S16" s="159">
        <f>Berechnung_QS!L16+Q16</f>
        <v>20926.612810125003</v>
      </c>
    </row>
    <row r="17" spans="1:19" ht="15.75" customHeight="1">
      <c r="A17" s="162" t="s">
        <v>49</v>
      </c>
      <c r="B17" s="163">
        <f>(Bruttoeink!B14*B$11)/1000</f>
        <v>74815.373015000005</v>
      </c>
      <c r="C17" s="163">
        <f>(Bruttoeink!C14*C$11)/1000</f>
        <v>16852.492955000002</v>
      </c>
      <c r="D17" s="164">
        <f>(Bruttoeink!D14*D$11)/1000</f>
        <v>0</v>
      </c>
      <c r="E17" s="163">
        <f>(Bruttoeink!E14*E$11)/1000</f>
        <v>65.79216666666666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16918.285121666668</v>
      </c>
      <c r="J17" s="166">
        <f t="shared" si="1"/>
        <v>1</v>
      </c>
      <c r="K17" s="163">
        <f t="shared" si="2"/>
        <v>16918.285121666668</v>
      </c>
      <c r="L17" s="167">
        <f t="shared" si="3"/>
        <v>91733.658136666665</v>
      </c>
      <c r="M17" s="144"/>
      <c r="N17" s="162" t="s">
        <v>49</v>
      </c>
      <c r="O17" s="168">
        <v>4092191.2</v>
      </c>
      <c r="P17" s="169">
        <v>3.8094981280301997E-2</v>
      </c>
      <c r="Q17" s="167">
        <f>IF(Berechnung_QS!L17=0,O17*P17,0)</f>
        <v>0</v>
      </c>
      <c r="R17" s="147"/>
      <c r="S17" s="170">
        <f>Berechnung_QS!L17+Q17</f>
        <v>91733.658136666665</v>
      </c>
    </row>
    <row r="18" spans="1:19" ht="15.75" customHeight="1">
      <c r="A18" s="151" t="s">
        <v>50</v>
      </c>
      <c r="B18" s="152">
        <f>(Bruttoeink!B15*B$11)/1000</f>
        <v>23008.47321955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23008.47321955</v>
      </c>
      <c r="M18" s="144"/>
      <c r="N18" s="151" t="s">
        <v>50</v>
      </c>
      <c r="O18" s="157">
        <v>541427.69999999995</v>
      </c>
      <c r="P18" s="158">
        <v>5.6255464056730299E-2</v>
      </c>
      <c r="Q18" s="156">
        <f>IF(Berechnung_QS!L18=0,O18*P18,0)</f>
        <v>0</v>
      </c>
      <c r="R18" s="147"/>
      <c r="S18" s="159">
        <f>Berechnung_QS!L18+Q18</f>
        <v>23008.47321955</v>
      </c>
    </row>
    <row r="19" spans="1:19" ht="15.75" customHeight="1">
      <c r="A19" s="162" t="s">
        <v>51</v>
      </c>
      <c r="B19" s="163">
        <f>(Bruttoeink!B16*B$11)/1000</f>
        <v>22039.257317000003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19.754999999999999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19.754999999999999</v>
      </c>
      <c r="J19" s="166">
        <f t="shared" si="1"/>
        <v>1</v>
      </c>
      <c r="K19" s="163">
        <f t="shared" si="2"/>
        <v>19.754999999999999</v>
      </c>
      <c r="L19" s="167">
        <f t="shared" si="3"/>
        <v>22059.012317000004</v>
      </c>
      <c r="M19" s="144"/>
      <c r="N19" s="162" t="s">
        <v>51</v>
      </c>
      <c r="O19" s="168">
        <v>998194.8</v>
      </c>
      <c r="P19" s="169">
        <v>3.7696713582742E-2</v>
      </c>
      <c r="Q19" s="167">
        <f>IF(Berechnung_QS!L19=0,O19*P19,0)</f>
        <v>0</v>
      </c>
      <c r="R19" s="147"/>
      <c r="S19" s="170">
        <f>Berechnung_QS!L19+Q19</f>
        <v>22059.012317000004</v>
      </c>
    </row>
    <row r="20" spans="1:19" ht="15.75" customHeight="1">
      <c r="A20" s="151" t="s">
        <v>52</v>
      </c>
      <c r="B20" s="152">
        <f>(Bruttoeink!B17*B$11)/1000</f>
        <v>16089.496630250002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16089.496630250002</v>
      </c>
      <c r="M20" s="144"/>
      <c r="N20" s="151" t="s">
        <v>52</v>
      </c>
      <c r="O20" s="157">
        <v>494847.2</v>
      </c>
      <c r="P20" s="158">
        <v>6.4687997241129697E-2</v>
      </c>
      <c r="Q20" s="156">
        <f>IF(Berechnung_QS!L20=0,O20*P20,0)</f>
        <v>0</v>
      </c>
      <c r="R20" s="147"/>
      <c r="S20" s="159">
        <f>Berechnung_QS!L20+Q20</f>
        <v>16089.496630250002</v>
      </c>
    </row>
    <row r="21" spans="1:19" ht="15.75" customHeight="1">
      <c r="A21" s="162" t="s">
        <v>53</v>
      </c>
      <c r="B21" s="163">
        <f>(Bruttoeink!B18*B$11)/1000</f>
        <v>133344.75264300001</v>
      </c>
      <c r="C21" s="163">
        <f>(Bruttoeink!C18*C$11)/1000</f>
        <v>573.5809690000001</v>
      </c>
      <c r="D21" s="164">
        <f>(Bruttoeink!D18*D$11)/1000</f>
        <v>0</v>
      </c>
      <c r="E21" s="163">
        <f>(Bruttoeink!E18*E$11)/1000</f>
        <v>267.3485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840.92946900000015</v>
      </c>
      <c r="J21" s="166">
        <f t="shared" si="1"/>
        <v>1</v>
      </c>
      <c r="K21" s="163">
        <f t="shared" si="2"/>
        <v>840.92946900000015</v>
      </c>
      <c r="L21" s="167">
        <f t="shared" si="3"/>
        <v>134185.68211200001</v>
      </c>
      <c r="M21" s="144"/>
      <c r="N21" s="162" t="s">
        <v>53</v>
      </c>
      <c r="O21" s="168">
        <v>3774746.9</v>
      </c>
      <c r="P21" s="169">
        <v>5.0081594571260601E-2</v>
      </c>
      <c r="Q21" s="167">
        <f>IF(Berechnung_QS!L21=0,O21*P21,0)</f>
        <v>0</v>
      </c>
      <c r="R21" s="147"/>
      <c r="S21" s="170">
        <f>Berechnung_QS!L21+Q21</f>
        <v>134185.68211200001</v>
      </c>
    </row>
    <row r="22" spans="1:19" ht="15.75" customHeight="1">
      <c r="A22" s="151" t="s">
        <v>54</v>
      </c>
      <c r="B22" s="152">
        <f>(Bruttoeink!B19*B$11)/1000</f>
        <v>153668.74965499999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153668.74965499999</v>
      </c>
      <c r="M22" s="144"/>
      <c r="N22" s="151" t="s">
        <v>54</v>
      </c>
      <c r="O22" s="157">
        <v>3876911</v>
      </c>
      <c r="P22" s="158">
        <v>6.1664940313944899E-2</v>
      </c>
      <c r="Q22" s="156">
        <f>IF(Berechnung_QS!L22=0,O22*P22,0)</f>
        <v>0</v>
      </c>
      <c r="R22" s="147"/>
      <c r="S22" s="159">
        <f>Berechnung_QS!L22+Q22</f>
        <v>153668.74965499999</v>
      </c>
    </row>
    <row r="23" spans="1:19" ht="15.75" customHeight="1">
      <c r="A23" s="162" t="s">
        <v>55</v>
      </c>
      <c r="B23" s="163">
        <f>(Bruttoeink!B20*B$11)/1000</f>
        <v>97577.664403999996</v>
      </c>
      <c r="C23" s="163">
        <f>(Bruttoeink!C20*C$11)/1000</f>
        <v>889.53594799999996</v>
      </c>
      <c r="D23" s="164">
        <f>(Bruttoeink!D20*D$11)/1000</f>
        <v>302.23561987500005</v>
      </c>
      <c r="E23" s="163">
        <f>(Bruttoeink!E20*E$11)/1000</f>
        <v>3867.8786666666665</v>
      </c>
      <c r="F23" s="163">
        <f>(Bruttoeink!F20*F$11)/1000</f>
        <v>0</v>
      </c>
      <c r="G23" s="163">
        <f>(Bruttoeink!G20*G$11)/1000</f>
        <v>12131.998</v>
      </c>
      <c r="H23" s="165">
        <f>(Bruttoeink!H20*H$11)/1000</f>
        <v>0</v>
      </c>
      <c r="I23" s="163">
        <f t="shared" si="0"/>
        <v>17191.648234541666</v>
      </c>
      <c r="J23" s="166">
        <f t="shared" si="1"/>
        <v>1</v>
      </c>
      <c r="K23" s="163">
        <f t="shared" si="2"/>
        <v>17191.648234541666</v>
      </c>
      <c r="L23" s="167">
        <f t="shared" si="3"/>
        <v>114769.31263854165</v>
      </c>
      <c r="M23" s="144"/>
      <c r="N23" s="162" t="s">
        <v>55</v>
      </c>
      <c r="O23" s="168">
        <v>4059911.7</v>
      </c>
      <c r="P23" s="169">
        <v>5.1269464148675697E-2</v>
      </c>
      <c r="Q23" s="167">
        <f>IF(Berechnung_QS!L23=0,O23*P23,0)</f>
        <v>0</v>
      </c>
      <c r="R23" s="147"/>
      <c r="S23" s="170">
        <f>Berechnung_QS!L23+Q23</f>
        <v>114769.31263854165</v>
      </c>
    </row>
    <row r="24" spans="1:19" ht="15.75" customHeight="1">
      <c r="A24" s="151" t="s">
        <v>56</v>
      </c>
      <c r="B24" s="152">
        <f>(Bruttoeink!B21*B$11)/1000</f>
        <v>228570.04697275002</v>
      </c>
      <c r="C24" s="152">
        <f>(Bruttoeink!C21*C$11)/1000</f>
        <v>48363.521443700003</v>
      </c>
      <c r="D24" s="153">
        <f>(Bruttoeink!D21*D$11)/1000</f>
        <v>0</v>
      </c>
      <c r="E24" s="152">
        <f>(Bruttoeink!E21*E$11)/1000</f>
        <v>183197.37028333332</v>
      </c>
      <c r="F24" s="152">
        <f>(Bruttoeink!F21*F$11)/1000</f>
        <v>0</v>
      </c>
      <c r="G24" s="152">
        <f>(Bruttoeink!G21*G$11)/1000</f>
        <v>229834.59866666666</v>
      </c>
      <c r="H24" s="154">
        <f>(Bruttoeink!H21*H$11)/1000</f>
        <v>0</v>
      </c>
      <c r="I24" s="152">
        <f t="shared" si="0"/>
        <v>461395.49039369996</v>
      </c>
      <c r="J24" s="155">
        <f t="shared" si="1"/>
        <v>1</v>
      </c>
      <c r="K24" s="152">
        <f t="shared" si="2"/>
        <v>461395.49039369996</v>
      </c>
      <c r="L24" s="156">
        <f t="shared" si="3"/>
        <v>689965.53736644995</v>
      </c>
      <c r="M24" s="144"/>
      <c r="N24" s="151" t="s">
        <v>56</v>
      </c>
      <c r="O24" s="157">
        <v>3953975.9</v>
      </c>
      <c r="P24" s="158">
        <v>0.20098294312096601</v>
      </c>
      <c r="Q24" s="156">
        <f>IF(Berechnung_QS!L24=0,O24*P24,0)</f>
        <v>0</v>
      </c>
      <c r="R24" s="147"/>
      <c r="S24" s="159">
        <f>Berechnung_QS!L24+Q24</f>
        <v>689965.53736644995</v>
      </c>
    </row>
    <row r="25" spans="1:19" ht="15.75" customHeight="1">
      <c r="A25" s="162" t="s">
        <v>57</v>
      </c>
      <c r="B25" s="163">
        <f>(Bruttoeink!B22*B$11)/1000</f>
        <v>118865.51981700001</v>
      </c>
      <c r="C25" s="163">
        <f>(Bruttoeink!C22*C$11)/1000</f>
        <v>18195.573654</v>
      </c>
      <c r="D25" s="164">
        <f>(Bruttoeink!D22*D$11)/1000</f>
        <v>0</v>
      </c>
      <c r="E25" s="163">
        <f>(Bruttoeink!E22*E$11)/1000</f>
        <v>71812.169833333333</v>
      </c>
      <c r="F25" s="163">
        <f>(Bruttoeink!F22*F$11)/1000</f>
        <v>0</v>
      </c>
      <c r="G25" s="163">
        <f>(Bruttoeink!G22*G$11)/1000</f>
        <v>140095.61233333332</v>
      </c>
      <c r="H25" s="165">
        <f>(Bruttoeink!H22*H$11)/1000</f>
        <v>0</v>
      </c>
      <c r="I25" s="163">
        <f t="shared" si="0"/>
        <v>230103.35582066665</v>
      </c>
      <c r="J25" s="166">
        <f t="shared" si="1"/>
        <v>1</v>
      </c>
      <c r="K25" s="163">
        <f t="shared" si="2"/>
        <v>230103.35582066665</v>
      </c>
      <c r="L25" s="167">
        <f t="shared" si="3"/>
        <v>348968.87563766667</v>
      </c>
      <c r="M25" s="144"/>
      <c r="N25" s="162" t="s">
        <v>57</v>
      </c>
      <c r="O25" s="168">
        <v>5980469.5</v>
      </c>
      <c r="P25" s="169">
        <v>8.6724125773662994E-2</v>
      </c>
      <c r="Q25" s="167">
        <f>IF(Berechnung_QS!L25=0,O25*P25,0)</f>
        <v>0</v>
      </c>
      <c r="R25" s="147"/>
      <c r="S25" s="170">
        <f>Berechnung_QS!L25+Q25</f>
        <v>348968.87563766667</v>
      </c>
    </row>
    <row r="26" spans="1:19" ht="15.75" customHeight="1">
      <c r="A26" s="151" t="s">
        <v>58</v>
      </c>
      <c r="B26" s="152">
        <f>(Bruttoeink!B23*B$11)/1000</f>
        <v>71978.916847400003</v>
      </c>
      <c r="C26" s="152">
        <f>(Bruttoeink!C23*C$11)/1000</f>
        <v>2411.1411474000001</v>
      </c>
      <c r="D26" s="153">
        <f>(Bruttoeink!D23*D$11)/1000</f>
        <v>0</v>
      </c>
      <c r="E26" s="152">
        <f>(Bruttoeink!E23*E$11)/1000</f>
        <v>45964.753215000004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48375.894362400002</v>
      </c>
      <c r="J26" s="155">
        <f t="shared" si="1"/>
        <v>1</v>
      </c>
      <c r="K26" s="152">
        <f t="shared" si="2"/>
        <v>48375.894362400002</v>
      </c>
      <c r="L26" s="156">
        <f t="shared" si="3"/>
        <v>120354.81120980001</v>
      </c>
      <c r="M26" s="144"/>
      <c r="N26" s="151" t="s">
        <v>58</v>
      </c>
      <c r="O26" s="157">
        <v>1156786.8999999999</v>
      </c>
      <c r="P26" s="158">
        <v>9.9679953141710506E-2</v>
      </c>
      <c r="Q26" s="156">
        <f>IF(Berechnung_QS!L26=0,O26*P26,0)</f>
        <v>0</v>
      </c>
      <c r="R26" s="147"/>
      <c r="S26" s="159">
        <f>Berechnung_QS!L26+Q26</f>
        <v>120354.81120980001</v>
      </c>
    </row>
    <row r="27" spans="1:19" ht="15.75" customHeight="1">
      <c r="A27" s="162" t="s">
        <v>59</v>
      </c>
      <c r="B27" s="163">
        <f>(Bruttoeink!B24*B$11)/1000</f>
        <v>25224.034544300001</v>
      </c>
      <c r="C27" s="163">
        <f>(Bruttoeink!C24*C$11)/1000</f>
        <v>368.271952</v>
      </c>
      <c r="D27" s="164">
        <f>(Bruttoeink!D24*D$11)/1000</f>
        <v>3703.1564600012503</v>
      </c>
      <c r="E27" s="163">
        <f>(Bruttoeink!E24*E$11)/1000</f>
        <v>328.05369166666662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4399.4821036679168</v>
      </c>
      <c r="J27" s="166">
        <f t="shared" si="1"/>
        <v>1</v>
      </c>
      <c r="K27" s="163">
        <f t="shared" si="2"/>
        <v>4399.4821036679168</v>
      </c>
      <c r="L27" s="167">
        <f t="shared" si="3"/>
        <v>29623.516647967917</v>
      </c>
      <c r="M27" s="144"/>
      <c r="N27" s="162" t="s">
        <v>59</v>
      </c>
      <c r="O27" s="168">
        <v>831160.7</v>
      </c>
      <c r="P27" s="169">
        <v>5.43153293269047E-2</v>
      </c>
      <c r="Q27" s="167">
        <f>IF(Berechnung_QS!L27=0,O27*P27,0)</f>
        <v>0</v>
      </c>
      <c r="R27" s="147"/>
      <c r="S27" s="170">
        <f>Berechnung_QS!L27+Q27</f>
        <v>29623.516647967917</v>
      </c>
    </row>
    <row r="28" spans="1:19" ht="15.75" customHeight="1">
      <c r="A28" s="151" t="s">
        <v>60</v>
      </c>
      <c r="B28" s="152">
        <f>(Bruttoeink!B25*B$11)/1000</f>
        <v>6480.72113085</v>
      </c>
      <c r="C28" s="152">
        <f>(Bruttoeink!C25*C$11)/1000</f>
        <v>0</v>
      </c>
      <c r="D28" s="153">
        <f>(Bruttoeink!D25*D$11)/1000</f>
        <v>302.15682848749998</v>
      </c>
      <c r="E28" s="152">
        <f>(Bruttoeink!E25*E$11)/1000</f>
        <v>84.699583333333322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386.85641182083327</v>
      </c>
      <c r="J28" s="155">
        <f t="shared" si="1"/>
        <v>1</v>
      </c>
      <c r="K28" s="152">
        <f t="shared" si="2"/>
        <v>386.85641182083327</v>
      </c>
      <c r="L28" s="156">
        <f t="shared" si="3"/>
        <v>6867.5775426708333</v>
      </c>
      <c r="M28" s="144"/>
      <c r="N28" s="151" t="s">
        <v>60</v>
      </c>
      <c r="O28" s="157">
        <v>243628.3</v>
      </c>
      <c r="P28" s="158">
        <v>4.9463043548018698E-2</v>
      </c>
      <c r="Q28" s="156">
        <f>IF(Berechnung_QS!L28=0,O28*P28,0)</f>
        <v>0</v>
      </c>
      <c r="R28" s="147"/>
      <c r="S28" s="159">
        <f>Berechnung_QS!L28+Q28</f>
        <v>6867.5775426708333</v>
      </c>
    </row>
    <row r="29" spans="1:19" ht="15.75" customHeight="1">
      <c r="A29" s="162" t="s">
        <v>61</v>
      </c>
      <c r="B29" s="163">
        <f>(Bruttoeink!B26*B$11)/1000</f>
        <v>248442.39869611</v>
      </c>
      <c r="C29" s="163">
        <f>(Bruttoeink!C26*C$11)/1000</f>
        <v>14574.90832076</v>
      </c>
      <c r="D29" s="164">
        <f>(Bruttoeink!D26*D$11)/1000</f>
        <v>131949.64703627001</v>
      </c>
      <c r="E29" s="163">
        <f>(Bruttoeink!E26*E$11)/1000</f>
        <v>7650.4594500000003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154175.01480703001</v>
      </c>
      <c r="J29" s="166">
        <f t="shared" si="1"/>
        <v>1</v>
      </c>
      <c r="K29" s="163">
        <f t="shared" si="2"/>
        <v>154175.01480703001</v>
      </c>
      <c r="L29" s="167">
        <f t="shared" si="3"/>
        <v>402617.41350313998</v>
      </c>
      <c r="M29" s="144"/>
      <c r="N29" s="162" t="s">
        <v>61</v>
      </c>
      <c r="O29" s="168">
        <v>6674850</v>
      </c>
      <c r="P29" s="169">
        <v>7.88440403481179E-2</v>
      </c>
      <c r="Q29" s="167">
        <f>IF(Berechnung_QS!L29=0,O29*P29,0)</f>
        <v>0</v>
      </c>
      <c r="R29" s="147"/>
      <c r="S29" s="170">
        <f>Berechnung_QS!L29+Q29</f>
        <v>402617.41350313998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2912208.8</v>
      </c>
      <c r="P30" s="158">
        <v>0.106786125521754</v>
      </c>
      <c r="Q30" s="156">
        <f>IF(Berechnung_QS!L30=0,O30*P30,0)</f>
        <v>310983.49446235655</v>
      </c>
      <c r="R30" s="147"/>
      <c r="S30" s="159">
        <f>Berechnung_QS!L30+Q30</f>
        <v>310983.49446235655</v>
      </c>
    </row>
    <row r="31" spans="1:19" ht="15.75" customHeight="1">
      <c r="A31" s="162" t="s">
        <v>63</v>
      </c>
      <c r="B31" s="163">
        <f>(Bruttoeink!B28*B$11)/1000</f>
        <v>332740.66686800006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98242.661666666652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98242.661666666652</v>
      </c>
      <c r="J31" s="166">
        <f t="shared" si="1"/>
        <v>1</v>
      </c>
      <c r="K31" s="163">
        <f t="shared" si="2"/>
        <v>98242.661666666652</v>
      </c>
      <c r="L31" s="167">
        <f t="shared" si="3"/>
        <v>430983.32853466668</v>
      </c>
      <c r="M31" s="144"/>
      <c r="N31" s="162" t="s">
        <v>63</v>
      </c>
      <c r="O31" s="168">
        <v>10299501.4</v>
      </c>
      <c r="P31" s="169">
        <v>5.8225259390473003E-2</v>
      </c>
      <c r="Q31" s="167">
        <f>IF(Berechnung_QS!L31=0,O31*P31,0)</f>
        <v>0</v>
      </c>
      <c r="R31" s="147"/>
      <c r="S31" s="170">
        <f>Berechnung_QS!L31+Q31</f>
        <v>430983.32853466668</v>
      </c>
    </row>
    <row r="32" spans="1:19" ht="15.75" customHeight="1">
      <c r="A32" s="151" t="s">
        <v>64</v>
      </c>
      <c r="B32" s="152">
        <f>(Bruttoeink!B29*B$11)/1000</f>
        <v>131276.21594371001</v>
      </c>
      <c r="C32" s="152">
        <f>(Bruttoeink!C29*C$11)/1000</f>
        <v>2968.5691439500006</v>
      </c>
      <c r="D32" s="153">
        <f>(Bruttoeink!D29*D$11)/1000</f>
        <v>5073.6014714175008</v>
      </c>
      <c r="E32" s="152">
        <f>(Bruttoeink!E29*E$11)/1000</f>
        <v>31791.629594999999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39833.800210367503</v>
      </c>
      <c r="J32" s="155">
        <f t="shared" si="1"/>
        <v>1</v>
      </c>
      <c r="K32" s="152">
        <f t="shared" si="2"/>
        <v>39833.800210367503</v>
      </c>
      <c r="L32" s="156">
        <f t="shared" si="3"/>
        <v>171110.01615407752</v>
      </c>
      <c r="M32" s="144"/>
      <c r="N32" s="151" t="s">
        <v>64</v>
      </c>
      <c r="O32" s="157">
        <v>3545123.1</v>
      </c>
      <c r="P32" s="158">
        <v>6.7867718553631204E-2</v>
      </c>
      <c r="Q32" s="156">
        <f>IF(Berechnung_QS!L32=0,O32*P32,0)</f>
        <v>0</v>
      </c>
      <c r="R32" s="147"/>
      <c r="S32" s="159">
        <f>Berechnung_QS!L32+Q32</f>
        <v>171110.01615407752</v>
      </c>
    </row>
    <row r="33" spans="1:19" ht="15.75" customHeight="1">
      <c r="A33" s="162" t="s">
        <v>65</v>
      </c>
      <c r="B33" s="163">
        <f>(Bruttoeink!B30*B$11)/1000</f>
        <v>303605.93450599996</v>
      </c>
      <c r="C33" s="163">
        <f>(Bruttoeink!C30*C$11)/1000</f>
        <v>26968.745243000001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523193.66224980005</v>
      </c>
      <c r="I33" s="163">
        <f t="shared" si="0"/>
        <v>550162.40749280003</v>
      </c>
      <c r="J33" s="166">
        <f t="shared" si="1"/>
        <v>1</v>
      </c>
      <c r="K33" s="163">
        <f t="shared" si="2"/>
        <v>550162.40749280003</v>
      </c>
      <c r="L33" s="167">
        <f t="shared" si="3"/>
        <v>853768.34199879994</v>
      </c>
      <c r="M33" s="144"/>
      <c r="N33" s="162" t="s">
        <v>65</v>
      </c>
      <c r="O33" s="168">
        <v>5523101.7000000002</v>
      </c>
      <c r="P33" s="169">
        <v>0.176029448210205</v>
      </c>
      <c r="Q33" s="167">
        <f>IF(Berechnung_QS!L33=0,O33*P33,0)</f>
        <v>0</v>
      </c>
      <c r="R33" s="147"/>
      <c r="S33" s="170">
        <f>Berechnung_QS!L33+Q33</f>
        <v>853768.34199879994</v>
      </c>
    </row>
    <row r="34" spans="1:19" ht="15.75" customHeight="1">
      <c r="A34" s="151" t="s">
        <v>66</v>
      </c>
      <c r="B34" s="152">
        <f>(Bruttoeink!B31*B$11)/1000</f>
        <v>597383.40853995003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177905.99566666665</v>
      </c>
      <c r="H34" s="154">
        <f>(Bruttoeink!H31*H$11)/1000</f>
        <v>0</v>
      </c>
      <c r="I34" s="152">
        <f t="shared" si="0"/>
        <v>177905.99566666665</v>
      </c>
      <c r="J34" s="155">
        <f t="shared" si="1"/>
        <v>1</v>
      </c>
      <c r="K34" s="152">
        <f t="shared" si="2"/>
        <v>177905.99566666665</v>
      </c>
      <c r="L34" s="156">
        <f t="shared" si="3"/>
        <v>775289.40420661669</v>
      </c>
      <c r="M34" s="144"/>
      <c r="N34" s="151" t="s">
        <v>66</v>
      </c>
      <c r="O34" s="157">
        <v>13435840.6</v>
      </c>
      <c r="P34" s="158">
        <v>8.8837466778257004E-2</v>
      </c>
      <c r="Q34" s="156">
        <f>IF(Berechnung_QS!L34=0,O34*P34,0)</f>
        <v>0</v>
      </c>
      <c r="R34" s="147"/>
      <c r="S34" s="159">
        <f>Berechnung_QS!L34+Q34</f>
        <v>775289.40420661669</v>
      </c>
    </row>
    <row r="35" spans="1:19" ht="15.75" customHeight="1">
      <c r="A35" s="162" t="s">
        <v>67</v>
      </c>
      <c r="B35" s="163">
        <f>(Bruttoeink!B32*B$11)/1000</f>
        <v>266059.16035242</v>
      </c>
      <c r="C35" s="163">
        <f>(Bruttoeink!C32*C$11)/1000</f>
        <v>1259.3611083999999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8529.4456099999989</v>
      </c>
      <c r="H35" s="165">
        <f>(Bruttoeink!H32*H$11)/1000</f>
        <v>9770.4656637120006</v>
      </c>
      <c r="I35" s="163">
        <f t="shared" si="0"/>
        <v>19559.272382112002</v>
      </c>
      <c r="J35" s="166">
        <f t="shared" si="1"/>
        <v>1</v>
      </c>
      <c r="K35" s="163">
        <f t="shared" si="2"/>
        <v>19559.272382112002</v>
      </c>
      <c r="L35" s="167">
        <f t="shared" si="3"/>
        <v>285618.43273453199</v>
      </c>
      <c r="M35" s="144"/>
      <c r="N35" s="162" t="s">
        <v>67</v>
      </c>
      <c r="O35" s="168">
        <v>4185755.2</v>
      </c>
      <c r="P35" s="169">
        <v>8.1927634456128995E-2</v>
      </c>
      <c r="Q35" s="167">
        <f>IF(Berechnung_QS!L35=0,O35*P35,0)</f>
        <v>0</v>
      </c>
      <c r="R35" s="147"/>
      <c r="S35" s="170">
        <f>Berechnung_QS!L35+Q35</f>
        <v>285618.43273453199</v>
      </c>
    </row>
    <row r="36" spans="1:19" ht="15.75" customHeight="1">
      <c r="A36" s="151" t="s">
        <v>68</v>
      </c>
      <c r="B36" s="152">
        <f>(Bruttoeink!B33*B$11)/1000</f>
        <v>127006.69504091001</v>
      </c>
      <c r="C36" s="152">
        <f>(Bruttoeink!C33*C$11)/1000</f>
        <v>1570.815521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85828.615333333335</v>
      </c>
      <c r="H36" s="154">
        <f>(Bruttoeink!H33*H$11)/1000</f>
        <v>0</v>
      </c>
      <c r="I36" s="152">
        <f t="shared" si="0"/>
        <v>87399.430854333332</v>
      </c>
      <c r="J36" s="155">
        <f t="shared" si="1"/>
        <v>1</v>
      </c>
      <c r="K36" s="152">
        <f t="shared" si="2"/>
        <v>87399.430854333332</v>
      </c>
      <c r="L36" s="156">
        <f t="shared" si="3"/>
        <v>214406.12589524334</v>
      </c>
      <c r="M36" s="144"/>
      <c r="N36" s="151" t="s">
        <v>68</v>
      </c>
      <c r="O36" s="157">
        <v>2628539</v>
      </c>
      <c r="P36" s="158">
        <v>8.8246039140046195E-2</v>
      </c>
      <c r="Q36" s="156">
        <f>IF(Berechnung_QS!L36=0,O36*P36,0)</f>
        <v>0</v>
      </c>
      <c r="R36" s="147"/>
      <c r="S36" s="159">
        <f>Berechnung_QS!L36+Q36</f>
        <v>214406.12589524334</v>
      </c>
    </row>
    <row r="37" spans="1:19" ht="15.75" customHeight="1">
      <c r="A37" s="162" t="s">
        <v>69</v>
      </c>
      <c r="B37" s="163">
        <f>(Bruttoeink!B34*B$11)/1000</f>
        <v>614456.55591300002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1329461.5977268517</v>
      </c>
      <c r="G37" s="163">
        <f>(Bruttoeink!G34*G$11)/1000</f>
        <v>0</v>
      </c>
      <c r="H37" s="165">
        <f>(Bruttoeink!H34*H$11)/1000</f>
        <v>0</v>
      </c>
      <c r="I37" s="163">
        <f t="shared" si="0"/>
        <v>1329461.5977268517</v>
      </c>
      <c r="J37" s="166">
        <f t="shared" si="1"/>
        <v>1</v>
      </c>
      <c r="K37" s="163">
        <f t="shared" si="2"/>
        <v>1329461.5977268517</v>
      </c>
      <c r="L37" s="167">
        <f t="shared" si="3"/>
        <v>1943918.1536398516</v>
      </c>
      <c r="M37" s="144"/>
      <c r="N37" s="162" t="s">
        <v>69</v>
      </c>
      <c r="O37" s="168">
        <v>10657592.4</v>
      </c>
      <c r="P37" s="169">
        <v>0.19918477891016201</v>
      </c>
      <c r="Q37" s="167">
        <f>IF(Berechnung_QS!L37=0,O37*P37,0)</f>
        <v>0</v>
      </c>
      <c r="R37" s="147"/>
      <c r="S37" s="170">
        <f>Berechnung_QS!L37+Q37</f>
        <v>1943918.1536398516</v>
      </c>
    </row>
    <row r="38" spans="1:19" ht="15.75" customHeight="1">
      <c r="A38" s="191" t="s">
        <v>105</v>
      </c>
      <c r="B38" s="192">
        <f>(Bruttoeink!B35*B$11)/1000</f>
        <v>22430.005395700002</v>
      </c>
      <c r="C38" s="172">
        <f>(Bruttoeink!C35*C$11)/1000</f>
        <v>1064.8057644</v>
      </c>
      <c r="D38" s="173">
        <f>(Bruttoeink!D35*D$11)/1000</f>
        <v>0</v>
      </c>
      <c r="E38" s="172">
        <f>(Bruttoeink!E35*E$11)/1000</f>
        <v>406.66456666666664</v>
      </c>
      <c r="F38" s="172">
        <f>(Bruttoeink!F35*F$11)/1000</f>
        <v>0</v>
      </c>
      <c r="G38" s="172">
        <f>(Bruttoeink!G35*G$11)/1000</f>
        <v>50479.648000000001</v>
      </c>
      <c r="H38" s="174">
        <f>(Bruttoeink!H35*H$11)/1000</f>
        <v>0</v>
      </c>
      <c r="I38" s="172">
        <f t="shared" si="0"/>
        <v>51951.118331066667</v>
      </c>
      <c r="J38" s="175">
        <f t="shared" si="1"/>
        <v>1</v>
      </c>
      <c r="K38" s="172">
        <f t="shared" si="2"/>
        <v>51951.118331066667</v>
      </c>
      <c r="L38" s="193">
        <f t="shared" si="3"/>
        <v>74381.123726766673</v>
      </c>
      <c r="M38" s="144"/>
      <c r="N38" s="171" t="s">
        <v>70</v>
      </c>
      <c r="O38" s="177">
        <v>838804.7</v>
      </c>
      <c r="P38" s="178">
        <v>0.100731585661631</v>
      </c>
      <c r="Q38" s="176">
        <f>IF(Berechnung_QS!L38=0,O38*P38,0)</f>
        <v>0</v>
      </c>
      <c r="R38" s="147"/>
      <c r="S38" s="194">
        <f>Berechnung_QS!L38+Q38</f>
        <v>74381.123726766673</v>
      </c>
    </row>
    <row r="39" spans="1:19" ht="15.75" customHeight="1">
      <c r="A39" s="179" t="s">
        <v>71</v>
      </c>
      <c r="B39" s="180">
        <f t="shared" ref="B39:I39" si="4">SUM(B13:B38)</f>
        <v>5591475.3478209004</v>
      </c>
      <c r="C39" s="180">
        <f t="shared" si="4"/>
        <v>154383.36655661001</v>
      </c>
      <c r="D39" s="181">
        <f t="shared" si="4"/>
        <v>143474.15374830127</v>
      </c>
      <c r="E39" s="180">
        <f t="shared" si="4"/>
        <v>501139.89921833342</v>
      </c>
      <c r="F39" s="180">
        <f t="shared" si="4"/>
        <v>1329461.5977268517</v>
      </c>
      <c r="G39" s="180">
        <f t="shared" si="4"/>
        <v>716561.19027666678</v>
      </c>
      <c r="H39" s="182">
        <f t="shared" si="4"/>
        <v>532964.12791351206</v>
      </c>
      <c r="I39" s="180">
        <f t="shared" si="4"/>
        <v>3377984.3354402748</v>
      </c>
      <c r="J39" s="183">
        <v>1</v>
      </c>
      <c r="K39" s="180">
        <f t="shared" si="2"/>
        <v>3377984.3354402748</v>
      </c>
      <c r="L39" s="184">
        <f t="shared" si="3"/>
        <v>8969459.6832611747</v>
      </c>
      <c r="M39" s="144"/>
      <c r="N39" s="179" t="s">
        <v>71</v>
      </c>
      <c r="O39" s="185">
        <f>SUM(O13:O38)</f>
        <v>141290437.80000001</v>
      </c>
      <c r="P39" s="186"/>
      <c r="Q39" s="184">
        <f>SUM(Q13:Q38)</f>
        <v>310983.49446235655</v>
      </c>
      <c r="R39" s="147"/>
      <c r="S39" s="187">
        <f>SUM(S13:S38)</f>
        <v>9280443.1777235325</v>
      </c>
    </row>
    <row r="40" spans="1:19">
      <c r="A40" s="195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2012-05-21T07:23:49Z</dcterms:modified>
</cp:coreProperties>
</file>