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435" windowWidth="14700" windowHeight="8190" tabRatio="740" firstSheet="1" activeTab="2"/>
  </bookViews>
  <sheets>
    <sheet name="Eingabe_RA" sheetId="1" r:id="rId1"/>
    <sheet name="Berechnung_Einzahlung" sheetId="2" r:id="rId2"/>
    <sheet name="Berechnung_Auszahlung" sheetId="3" r:id="rId3"/>
    <sheet name="Result_SSE" sheetId="4" r:id="rId4"/>
    <sheet name="Stand. Steuern" sheetId="5" r:id="rId5"/>
  </sheets>
  <definedNames>
    <definedName name="A">'Berechnung_Einzahlung'!$I$12</definedName>
    <definedName name="B" localSheetId="1">'Berechnung_Einzahlung'!$I$12</definedName>
    <definedName name="B">'Berechnung_Auszahlung'!$I$12</definedName>
    <definedName name="BEV" localSheetId="1">'Berechnung_Einzahlung'!$C$5:$C$30</definedName>
    <definedName name="BEV">'Berechnung_Auszahlung'!$C$5:$C$30</definedName>
    <definedName name="p" localSheetId="1">'Berechnung_Einzahlung'!$I$5</definedName>
    <definedName name="p">'Berechnung_Auszahlung'!$I$5</definedName>
    <definedName name="RI" localSheetId="1">'Berechnung_Einzahlung'!$B$5:$B$30</definedName>
    <definedName name="RI">'Berechnung_Auszahlung'!$B$5:$B$30</definedName>
    <definedName name="RI_26" localSheetId="1">'Berechnung_Einzahlung'!$I$7</definedName>
    <definedName name="RI_26">'Berechnung_Auszahlung'!$I$7</definedName>
    <definedName name="RI_MIN" localSheetId="1">'Berechnung_Einzahlung'!$I$8</definedName>
    <definedName name="RI_MIN">'Berechnung_Auszahlung'!$I$8</definedName>
    <definedName name="solver_adj" localSheetId="2" hidden="1">'Berechnung_Auszahlung'!$I$5</definedName>
    <definedName name="solver_adj" localSheetId="1" hidden="1">'Berechnung_Einzahlung'!$I$5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100</definedName>
    <definedName name="solver_lhs1" localSheetId="2" hidden="1">'Berechnung_Auszahlung'!$I$8</definedName>
    <definedName name="solver_lhs1" localSheetId="1" hidden="1">'Berechnung_Einzahlung'!$I$8</definedName>
    <definedName name="solver_lin" localSheetId="2" hidden="1">2</definedName>
    <definedName name="solver_lin" localSheetId="1" hidden="1">2</definedName>
    <definedName name="solver_neg" localSheetId="2" hidden="1">2</definedName>
    <definedName name="solver_neg" localSheetId="1" hidden="1">2</definedName>
    <definedName name="solver_num" localSheetId="2" hidden="1">1</definedName>
    <definedName name="solver_num" localSheetId="1" hidden="1">1</definedName>
    <definedName name="solver_nwt" localSheetId="2" hidden="1">1</definedName>
    <definedName name="solver_nwt" localSheetId="1" hidden="1">1</definedName>
    <definedName name="solver_opt" localSheetId="2" hidden="1">'Berechnung_Auszahlung'!$I$6</definedName>
    <definedName name="solver_opt" localSheetId="1" hidden="1">'Berechnung_Einzahlung'!$I$6</definedName>
    <definedName name="solver_pre" localSheetId="2" hidden="1">0.000001</definedName>
    <definedName name="solver_pre" localSheetId="1" hidden="1">0.000001</definedName>
    <definedName name="solver_rel1" localSheetId="2" hidden="1">2</definedName>
    <definedName name="solver_rel1" localSheetId="1" hidden="1">2</definedName>
    <definedName name="solver_rhs1" localSheetId="2" hidden="1">'Berechnung_Auszahlung'!$I$7</definedName>
    <definedName name="solver_rhs1" localSheetId="1" hidden="1">'Berechnung_Einzahlung'!$I$7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tim" localSheetId="2" hidden="1">100</definedName>
    <definedName name="solver_tim" localSheetId="1" hidden="1">100</definedName>
    <definedName name="solver_tol" localSheetId="2" hidden="1">0.05</definedName>
    <definedName name="solver_tol" localSheetId="1" hidden="1">0.05</definedName>
    <definedName name="solver_typ" localSheetId="2" hidden="1">1</definedName>
    <definedName name="solver_typ" localSheetId="1" hidden="1">1</definedName>
    <definedName name="solver_val" localSheetId="2" hidden="1">0</definedName>
    <definedName name="solver_val" localSheetId="1" hidden="1">0</definedName>
    <definedName name="SSE" localSheetId="1">'Berechnung_Einzahlung'!$I$13</definedName>
    <definedName name="sse">'Stand. Steuern'!$F$9</definedName>
    <definedName name="SUM" localSheetId="1">'Berechnung_Einzahlung'!$D$31</definedName>
    <definedName name="SUM">'Berechnung_Auszahlung'!$D$31</definedName>
    <definedName name="SUM_A">'Berechnung_Einzahlung'!$D$31</definedName>
  </definedNames>
  <calcPr fullCalcOnLoad="1"/>
</workbook>
</file>

<file path=xl/sharedStrings.xml><?xml version="1.0" encoding="utf-8"?>
<sst xmlns="http://schemas.openxmlformats.org/spreadsheetml/2006/main" count="153" uniqueCount="66">
  <si>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</si>
  <si>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</si>
  <si>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</si>
  <si>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</si>
  <si>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</si>
  <si>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</si>
  <si>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</si>
  <si>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</si>
  <si>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</si>
  <si>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</si>
  <si>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</si>
  <si>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</si>
  <si>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</si>
  <si>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</si>
  <si>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</si>
  <si>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</si>
  <si>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</si>
  <si>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</si>
  <si>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</si>
  <si>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</si>
  <si>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</si>
  <si>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</si>
  <si>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</si>
  <si>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</si>
  <si>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</si>
  <si>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</si>
  <si>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CH</t>
  </si>
  <si>
    <t>p</t>
  </si>
  <si>
    <t>p_dach</t>
  </si>
  <si>
    <t>RI_26</t>
  </si>
  <si>
    <t>RI_MIN</t>
  </si>
  <si>
    <t>in Fr. 1'000.--</t>
  </si>
  <si>
    <t>Stand. Steuerertäge total</t>
  </si>
  <si>
    <t>Stand Steuererträge pro Kopf</t>
  </si>
  <si>
    <t>SSE</t>
  </si>
  <si>
    <t>B</t>
  </si>
  <si>
    <t>Horizontaler Ressourcenausgleich</t>
  </si>
  <si>
    <t>Vertikalter Ressourcenausgleich</t>
  </si>
  <si>
    <t>Berechnung</t>
  </si>
  <si>
    <t>A</t>
  </si>
  <si>
    <t>Bevölkerung</t>
  </si>
  <si>
    <t>17 % Kantonsanteil an DBSt</t>
  </si>
  <si>
    <t>Steuereinnahmen der Kantone und Gemeinden</t>
  </si>
  <si>
    <t>Einnahmen direkte Bundessteuer</t>
  </si>
  <si>
    <t>Ressourcenpotenzial pro Kopf</t>
  </si>
  <si>
    <t>Minimum</t>
  </si>
  <si>
    <t>Standardisierte Steuerertäge</t>
  </si>
  <si>
    <t>Iteration von "p" mit Extras\Solver</t>
  </si>
  <si>
    <t>Standardisierter Steuersatz</t>
  </si>
  <si>
    <t>Ressourcen-index 2005</t>
  </si>
  <si>
    <t>Massgebende Bevölkerung 2005</t>
  </si>
  <si>
    <t>Summe der gewichteten Abweichungen</t>
  </si>
  <si>
    <t>Beitrag pro Einwohner</t>
  </si>
  <si>
    <t>Beitrag</t>
  </si>
  <si>
    <t>Einzahlung ressourcenstarke Kantone</t>
  </si>
  <si>
    <t>Auszahlung an ressourcenschwache Kantone</t>
  </si>
  <si>
    <t>Import</t>
  </si>
  <si>
    <t>Ressourcen-idex 2005</t>
  </si>
  <si>
    <t>Standardisierter Steuerertrag 2005</t>
  </si>
  <si>
    <t>Ressourcen-ausgleich pro Einwohner</t>
  </si>
  <si>
    <t>Standardisierter Steuerertrag pro Einwohner 2005 nach Ausgleich</t>
  </si>
  <si>
    <t>Standardisierter Steuerertrag pro Einwohner 2005 vor Ausgleich</t>
  </si>
  <si>
    <t>Index SSE nach Ausgleich</t>
  </si>
  <si>
    <t>Differenz SSE pro Einwohner 2007 vor Ausgleich zum Schweizer Mittel</t>
  </si>
  <si>
    <t>Ressourcen-ausgleich in Prozent der Differenz SSE</t>
  </si>
  <si>
    <t>99_01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</si>
</sst>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_ \ ;\-0.0_ \ ;0.0_ \ ;@_ \ "/>
    <numFmt numFmtId="165" formatCode="#,##0.0"/>
    <numFmt numFmtId="166" formatCode="0.0000"/>
    <numFmt numFmtId="167" formatCode="0.0"/>
    <numFmt numFmtId="168" formatCode="_ * #,##0_ ;_ * \-#,##0_ ;_ * &quot;-&quot;??_ ;_ @_ "/>
    <numFmt numFmtId="169" formatCode="0.000000"/>
    <numFmt numFmtId="170" formatCode="0.0%"/>
    <numFmt numFmtId="171" formatCode="0.00000"/>
    <numFmt numFmtId="172" formatCode="_ #\ ###\ ##0;_ \-#\ ###\ ##0;_ \-;_ @\ "/>
    <numFmt numFmtId="173" formatCode="#\ ###\ ##0_ \ ;\-#\ ###\ ##0_ \ ;\-_ \ ;@_ \ "/>
    <numFmt numFmtId="174" formatCode="#\ ###\ ##0_ \ ;\-#\ ###\ ##0_ \ ;0_ \ ;@_ \ "/>
    <numFmt numFmtId="175" formatCode="0.0_ \ ;\-0.0_ \ ;&quot;&quot;;@_ \ "/>
    <numFmt numFmtId="176" formatCode="0.0_ \ ;\-0.0_ \ "/>
    <numFmt numFmtId="177" formatCode="0.00000000"/>
    <numFmt numFmtId="178" formatCode="0.000"/>
    <numFmt numFmtId="179" formatCode="@_ \ "/>
    <numFmt numFmtId="180" formatCode="0.0000000000000"/>
    <numFmt numFmtId="181" formatCode="#\ ###\ ###\ ##0_ \ "/>
    <numFmt numFmtId="182" formatCode="0.000000%"/>
    <numFmt numFmtId="183" formatCode="0.0000%"/>
    <numFmt numFmtId="184" formatCode="0.00000%"/>
    <numFmt numFmtId="185" formatCode="0.0000000000"/>
    <numFmt numFmtId="186" formatCode="0.00000000%"/>
    <numFmt numFmtId="187" formatCode="0.0000000"/>
    <numFmt numFmtId="188" formatCode="#,##0.000000"/>
    <numFmt numFmtId="189" formatCode="#,##0.0000000"/>
    <numFmt numFmtId="190" formatCode="#,##0;[Red]#,##0"/>
    <numFmt numFmtId="191" formatCode="#,##0.00000"/>
    <numFmt numFmtId="192" formatCode="#\ ###\ ##0_ \ ;\-#\ ###\ ##0_ \ ;\-_ \ "/>
    <numFmt numFmtId="193" formatCode="\+/\-\ #\ ###\ ##0_ \ "/>
    <numFmt numFmtId="194" formatCode="_ * #,##0.0_ ;_ * \-#,##0.0_ ;_ * &quot;-&quot;??_ ;_ @_ "/>
    <numFmt numFmtId="195" formatCode="_ * #,##0.0_ ;_ * \-#,##0.0_ ;_ * &quot;-&quot;?_ ;_ @_ "/>
    <numFmt numFmtId="196" formatCode="#,##0_ ;\-#,##0\ "/>
  </numFmts>
  <fonts count="7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0" xfId="20" applyNumberFormat="1" applyFont="1" applyFill="1" applyBorder="1" applyAlignment="1">
      <alignment horizontal="center"/>
      <protection/>
    </xf>
    <xf numFmtId="170" fontId="2" fillId="0" borderId="0" xfId="0" applyNumberFormat="1" applyFon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20" applyNumberFormat="1" applyFont="1" applyFill="1" applyBorder="1" applyAlignment="1">
      <alignment horizontal="right"/>
      <protection/>
    </xf>
    <xf numFmtId="167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  <xf numFmtId="167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167" fontId="0" fillId="2" borderId="1" xfId="0" applyNumberFormat="1" applyFill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3" borderId="1" xfId="0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/>
    </xf>
    <xf numFmtId="3" fontId="6" fillId="4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5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5" borderId="1" xfId="0" applyFill="1" applyBorder="1" applyAlignment="1">
      <alignment/>
    </xf>
    <xf numFmtId="3" fontId="0" fillId="5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3" fontId="0" fillId="6" borderId="1" xfId="0" applyNumberForma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wrapText="1"/>
    </xf>
    <xf numFmtId="170" fontId="0" fillId="0" borderId="1" xfId="0" applyNumberFormat="1" applyBorder="1" applyAlignment="1">
      <alignment/>
    </xf>
    <xf numFmtId="170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ECPER-juin97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B1:E20"/>
  <sheetViews>
    <sheetView workbookViewId="0" topLeftCell="A1">
      <selection activeCell="C6" sqref="C6:C7"/>
    </sheetView>
  </sheetViews>
  <sheetFormatPr defaultColWidth="11.421875" defaultRowHeight="12.75"/>
  <cols>
    <col min="2" max="2" width="47.7109375" style="0" customWidth="1"/>
    <col min="3" max="3" width="22.57421875" style="0" customWidth="1"/>
    <col min="6" max="6" width="12.140625" style="0" customWidth="1"/>
    <col min="7" max="7" width="12.421875" style="0" customWidth="1"/>
  </cols>
  <sheetData>
    <row r="1" spans="2:5" ht="15">
      <c r="B1" s="40"/>
      <c r="C1" s="41"/>
      <c r="E1" s="1"/>
    </row>
    <row r="2" spans="2:5" ht="15">
      <c r="B2" s="40"/>
      <c r="C2" s="41"/>
      <c r="E2" s="11"/>
    </row>
    <row r="3" spans="2:3" ht="18.75" customHeight="1">
      <c r="B3" s="42"/>
      <c r="C3" s="43"/>
    </row>
    <row r="4" ht="23.25" customHeight="1">
      <c r="B4" s="4"/>
    </row>
    <row r="5" spans="2:5" ht="15.75">
      <c r="B5" s="32"/>
      <c r="C5" s="33" t="s">
        <v>56</v>
      </c>
      <c r="E5" s="1"/>
    </row>
    <row r="6" spans="2:5" ht="24" customHeight="1">
      <c r="B6" s="34" t="s">
        <v>36</v>
      </c>
      <c r="C6" s="35">
        <v>1147555954.3390315</v>
      </c>
      <c r="E6" s="8"/>
    </row>
    <row r="7" spans="2:3" ht="25.5" customHeight="1">
      <c r="B7" s="36" t="s">
        <v>37</v>
      </c>
      <c r="C7" s="37">
        <v>1639365649.0557592</v>
      </c>
    </row>
    <row r="8" spans="2:3" ht="15">
      <c r="B8" s="38"/>
      <c r="C8" s="38"/>
    </row>
    <row r="9" spans="2:3" ht="15">
      <c r="B9" s="38"/>
      <c r="C9" s="38"/>
    </row>
    <row r="10" spans="2:3" ht="15.75">
      <c r="B10" s="32"/>
      <c r="C10" s="33" t="s">
        <v>38</v>
      </c>
    </row>
    <row r="11" spans="2:3" ht="15">
      <c r="B11" s="32" t="s">
        <v>54</v>
      </c>
      <c r="C11" s="39">
        <f>C6</f>
        <v>1147555954.3390315</v>
      </c>
    </row>
    <row r="12" spans="2:3" ht="15">
      <c r="B12" s="32" t="s">
        <v>55</v>
      </c>
      <c r="C12" s="39">
        <f>C6+C7</f>
        <v>2786921603.3947906</v>
      </c>
    </row>
    <row r="17" spans="2:3" ht="12.75">
      <c r="B17" s="9"/>
      <c r="C17" s="9"/>
    </row>
    <row r="18" ht="12.75">
      <c r="B18" s="7"/>
    </row>
    <row r="19" spans="2:3" ht="12.75">
      <c r="B19" s="7"/>
      <c r="C19" s="7"/>
    </row>
    <row r="20" spans="2:3" ht="12.75">
      <c r="B20" s="7"/>
      <c r="C20" s="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J31"/>
  <sheetViews>
    <sheetView workbookViewId="0" topLeftCell="A1">
      <selection activeCell="B14" sqref="B14"/>
    </sheetView>
  </sheetViews>
  <sheetFormatPr defaultColWidth="11.421875" defaultRowHeight="12.75"/>
  <cols>
    <col min="3" max="3" width="16.140625" style="0" customWidth="1"/>
    <col min="4" max="6" width="13.00390625" style="0" customWidth="1"/>
    <col min="8" max="8" width="11.28125" style="0" customWidth="1"/>
    <col min="9" max="9" width="12.421875" style="0" customWidth="1"/>
  </cols>
  <sheetData>
    <row r="4" spans="1:6" ht="38.25">
      <c r="A4" s="12"/>
      <c r="B4" s="30" t="s">
        <v>49</v>
      </c>
      <c r="C4" s="30" t="s">
        <v>50</v>
      </c>
      <c r="D4" s="30" t="s">
        <v>51</v>
      </c>
      <c r="E4" s="30" t="s">
        <v>52</v>
      </c>
      <c r="F4" s="12" t="s">
        <v>53</v>
      </c>
    </row>
    <row r="5" spans="1:10" ht="12.75">
      <c r="A5" s="12" t="s">
        <v>0</v>
      </c>
      <c r="B5" s="13">
        <f>Result_SSE!B5</f>
        <v>132.1</v>
      </c>
      <c r="C5" s="14">
        <f>Result_SSE!D5</f>
        <v>1224586.6666666667</v>
      </c>
      <c r="D5" s="14">
        <f>IF(B5&gt;100,(RI-100)*BEV,0)</f>
        <v>39309231.99999999</v>
      </c>
      <c r="E5" s="14">
        <f>IF(B5&gt;100,A/SUM_A*(RI-100),0)</f>
        <v>404.56143719612334</v>
      </c>
      <c r="F5" s="14">
        <f aca="true" t="shared" si="0" ref="F5:F30">E5*BEV</f>
        <v>495420541.83787674</v>
      </c>
      <c r="J5" s="1"/>
    </row>
    <row r="6" spans="1:6" ht="12.75">
      <c r="A6" s="12" t="s">
        <v>1</v>
      </c>
      <c r="B6" s="13">
        <f>Result_SSE!B6</f>
        <v>73.8</v>
      </c>
      <c r="C6" s="14">
        <f>Result_SSE!D6</f>
        <v>951093.6666666666</v>
      </c>
      <c r="D6" s="14">
        <f aca="true" t="shared" si="1" ref="D6:D30">IF(B6&gt;100,(RI-100)*BEV,0)</f>
        <v>0</v>
      </c>
      <c r="E6" s="14">
        <f aca="true" t="shared" si="2" ref="E6:E30">IF(B6&gt;100,A/SUM_A*(RI-100),0)</f>
        <v>0</v>
      </c>
      <c r="F6" s="14">
        <f t="shared" si="0"/>
        <v>0</v>
      </c>
    </row>
    <row r="7" spans="1:9" ht="12.75">
      <c r="A7" s="12" t="s">
        <v>2</v>
      </c>
      <c r="B7" s="13">
        <f>Result_SSE!B7</f>
        <v>75.7</v>
      </c>
      <c r="C7" s="14">
        <f>Result_SSE!D7</f>
        <v>345676.6666666667</v>
      </c>
      <c r="D7" s="14">
        <f t="shared" si="1"/>
        <v>0</v>
      </c>
      <c r="E7" s="14">
        <f t="shared" si="2"/>
        <v>0</v>
      </c>
      <c r="F7" s="14">
        <f t="shared" si="0"/>
        <v>0</v>
      </c>
      <c r="I7" s="2"/>
    </row>
    <row r="8" spans="1:9" ht="12.75">
      <c r="A8" s="12" t="s">
        <v>3</v>
      </c>
      <c r="B8" s="13">
        <f>Result_SSE!B8</f>
        <v>65.5</v>
      </c>
      <c r="C8" s="14">
        <f>Result_SSE!D8</f>
        <v>34509.666666666664</v>
      </c>
      <c r="D8" s="14">
        <f t="shared" si="1"/>
        <v>0</v>
      </c>
      <c r="E8" s="14">
        <f t="shared" si="2"/>
        <v>0</v>
      </c>
      <c r="F8" s="14">
        <f t="shared" si="0"/>
        <v>0</v>
      </c>
      <c r="I8" s="2"/>
    </row>
    <row r="9" spans="1:6" ht="12.75">
      <c r="A9" s="12" t="s">
        <v>4</v>
      </c>
      <c r="B9" s="13">
        <f>Result_SSE!B9</f>
        <v>133.5</v>
      </c>
      <c r="C9" s="14">
        <f>Result_SSE!D9</f>
        <v>128241.33333333333</v>
      </c>
      <c r="D9" s="14">
        <f t="shared" si="1"/>
        <v>4296084.666666666</v>
      </c>
      <c r="E9" s="14">
        <f t="shared" si="2"/>
        <v>422.2058612482908</v>
      </c>
      <c r="F9" s="14">
        <f t="shared" si="0"/>
        <v>54144242.58762914</v>
      </c>
    </row>
    <row r="10" spans="1:6" ht="12.75">
      <c r="A10" s="12" t="s">
        <v>5</v>
      </c>
      <c r="B10" s="13">
        <f>Result_SSE!B10</f>
        <v>66.4</v>
      </c>
      <c r="C10" s="14">
        <f>Result_SSE!D10</f>
        <v>32201.666666666668</v>
      </c>
      <c r="D10" s="14">
        <f t="shared" si="1"/>
        <v>0</v>
      </c>
      <c r="E10" s="14">
        <f t="shared" si="2"/>
        <v>0</v>
      </c>
      <c r="F10" s="14">
        <f t="shared" si="0"/>
        <v>0</v>
      </c>
    </row>
    <row r="11" spans="1:6" ht="12.75">
      <c r="A11" s="12" t="s">
        <v>6</v>
      </c>
      <c r="B11" s="13">
        <f>Result_SSE!B11</f>
        <v>124.8</v>
      </c>
      <c r="C11" s="14">
        <f>Result_SSE!D11</f>
        <v>37027.666666666664</v>
      </c>
      <c r="D11" s="14">
        <f t="shared" si="1"/>
        <v>918286.1333333332</v>
      </c>
      <c r="E11" s="14">
        <f t="shared" si="2"/>
        <v>312.55836892410775</v>
      </c>
      <c r="F11" s="14">
        <f t="shared" si="0"/>
        <v>11573307.098398887</v>
      </c>
    </row>
    <row r="12" spans="1:9" ht="12.75">
      <c r="A12" s="12" t="s">
        <v>7</v>
      </c>
      <c r="B12" s="13">
        <f>Result_SSE!B12</f>
        <v>93.1</v>
      </c>
      <c r="C12" s="14">
        <f>Result_SSE!D12</f>
        <v>38190</v>
      </c>
      <c r="D12" s="14">
        <f t="shared" si="1"/>
        <v>0</v>
      </c>
      <c r="E12" s="14">
        <f t="shared" si="2"/>
        <v>0</v>
      </c>
      <c r="F12" s="14">
        <f t="shared" si="0"/>
        <v>0</v>
      </c>
      <c r="H12" s="48" t="s">
        <v>39</v>
      </c>
      <c r="I12" s="49">
        <f>Eingabe_RA!C11</f>
        <v>1147555954.3390315</v>
      </c>
    </row>
    <row r="13" spans="1:9" ht="12.75">
      <c r="A13" s="12" t="s">
        <v>8</v>
      </c>
      <c r="B13" s="13">
        <f>Result_SSE!B13</f>
        <v>205.8</v>
      </c>
      <c r="C13" s="14">
        <f>Result_SSE!D13</f>
        <v>98695.66666666667</v>
      </c>
      <c r="D13" s="14">
        <f t="shared" si="1"/>
        <v>10442001.533333335</v>
      </c>
      <c r="E13" s="14">
        <f t="shared" si="2"/>
        <v>1333.414331942363</v>
      </c>
      <c r="F13" s="14">
        <f t="shared" si="0"/>
        <v>131602216.4339395</v>
      </c>
      <c r="I13" s="7"/>
    </row>
    <row r="14" spans="1:6" ht="12.75">
      <c r="A14" s="12" t="s">
        <v>9</v>
      </c>
      <c r="B14" s="13">
        <f>Result_SSE!B14</f>
        <v>74.6</v>
      </c>
      <c r="C14" s="14">
        <f>Result_SSE!D14</f>
        <v>238035.66666666666</v>
      </c>
      <c r="D14" s="14">
        <f t="shared" si="1"/>
        <v>0</v>
      </c>
      <c r="E14" s="14">
        <f t="shared" si="2"/>
        <v>0</v>
      </c>
      <c r="F14" s="14">
        <f t="shared" si="0"/>
        <v>0</v>
      </c>
    </row>
    <row r="15" spans="1:6" ht="12.75">
      <c r="A15" s="12" t="s">
        <v>10</v>
      </c>
      <c r="B15" s="13">
        <f>Result_SSE!B15</f>
        <v>75.1</v>
      </c>
      <c r="C15" s="14">
        <f>Result_SSE!D15</f>
        <v>242429.33333333334</v>
      </c>
      <c r="D15" s="14">
        <f t="shared" si="1"/>
        <v>0</v>
      </c>
      <c r="E15" s="14">
        <f t="shared" si="2"/>
        <v>0</v>
      </c>
      <c r="F15" s="14">
        <f t="shared" si="0"/>
        <v>0</v>
      </c>
    </row>
    <row r="16" spans="1:6" ht="12.75">
      <c r="A16" s="12" t="s">
        <v>11</v>
      </c>
      <c r="B16" s="13">
        <f>Result_SSE!B16</f>
        <v>148.7</v>
      </c>
      <c r="C16" s="14">
        <f>Result_SSE!D16</f>
        <v>191355</v>
      </c>
      <c r="D16" s="14">
        <f t="shared" si="1"/>
        <v>9318988.499999998</v>
      </c>
      <c r="E16" s="14">
        <f t="shared" si="2"/>
        <v>613.7738938146792</v>
      </c>
      <c r="F16" s="14">
        <f t="shared" si="0"/>
        <v>117448703.45090795</v>
      </c>
    </row>
    <row r="17" spans="1:6" ht="12.75">
      <c r="A17" s="12" t="s">
        <v>12</v>
      </c>
      <c r="B17" s="13">
        <f>Result_SSE!B17</f>
        <v>108.7</v>
      </c>
      <c r="C17" s="14">
        <f>Result_SSE!D17</f>
        <v>257401</v>
      </c>
      <c r="D17" s="14">
        <f t="shared" si="1"/>
        <v>2239388.7000000007</v>
      </c>
      <c r="E17" s="14">
        <f t="shared" si="2"/>
        <v>109.647492324183</v>
      </c>
      <c r="F17" s="14">
        <f t="shared" si="0"/>
        <v>28223374.17173703</v>
      </c>
    </row>
    <row r="18" spans="1:6" ht="12.75">
      <c r="A18" s="12" t="s">
        <v>13</v>
      </c>
      <c r="B18" s="13">
        <f>Result_SSE!B18</f>
        <v>93.1</v>
      </c>
      <c r="C18" s="14">
        <f>Result_SSE!D18</f>
        <v>73119</v>
      </c>
      <c r="D18" s="14">
        <f t="shared" si="1"/>
        <v>0</v>
      </c>
      <c r="E18" s="14">
        <f t="shared" si="2"/>
        <v>0</v>
      </c>
      <c r="F18" s="14">
        <f t="shared" si="0"/>
        <v>0</v>
      </c>
    </row>
    <row r="19" spans="1:6" ht="12.75">
      <c r="A19" s="12" t="s">
        <v>14</v>
      </c>
      <c r="B19" s="13">
        <f>Result_SSE!B19</f>
        <v>78.5</v>
      </c>
      <c r="C19" s="14">
        <f>Result_SSE!D19</f>
        <v>53160.333333333336</v>
      </c>
      <c r="D19" s="14">
        <f t="shared" si="1"/>
        <v>0</v>
      </c>
      <c r="E19" s="14">
        <f t="shared" si="2"/>
        <v>0</v>
      </c>
      <c r="F19" s="14">
        <f t="shared" si="0"/>
        <v>0</v>
      </c>
    </row>
    <row r="20" spans="1:6" ht="12.75">
      <c r="A20" s="12" t="s">
        <v>15</v>
      </c>
      <c r="B20" s="13">
        <f>Result_SSE!B20</f>
        <v>82.3</v>
      </c>
      <c r="C20" s="14">
        <f>Result_SSE!D20</f>
        <v>14635.666666666666</v>
      </c>
      <c r="D20" s="14">
        <f t="shared" si="1"/>
        <v>0</v>
      </c>
      <c r="E20" s="14">
        <f t="shared" si="2"/>
        <v>0</v>
      </c>
      <c r="F20" s="14">
        <f t="shared" si="0"/>
        <v>0</v>
      </c>
    </row>
    <row r="21" spans="1:6" ht="12.75">
      <c r="A21" s="12" t="s">
        <v>16</v>
      </c>
      <c r="B21" s="13">
        <f>Result_SSE!B21</f>
        <v>76.6</v>
      </c>
      <c r="C21" s="14">
        <f>Result_SSE!D21</f>
        <v>448787</v>
      </c>
      <c r="D21" s="14">
        <f t="shared" si="1"/>
        <v>0</v>
      </c>
      <c r="E21" s="14">
        <f t="shared" si="2"/>
        <v>0</v>
      </c>
      <c r="F21" s="14">
        <f t="shared" si="0"/>
        <v>0</v>
      </c>
    </row>
    <row r="22" spans="1:6" ht="12.75">
      <c r="A22" s="12" t="s">
        <v>17</v>
      </c>
      <c r="B22" s="13">
        <f>Result_SSE!B22</f>
        <v>82.7</v>
      </c>
      <c r="C22" s="14">
        <f>Result_SSE!D22</f>
        <v>188545.66666666666</v>
      </c>
      <c r="D22" s="14">
        <f t="shared" si="1"/>
        <v>0</v>
      </c>
      <c r="E22" s="14">
        <f t="shared" si="2"/>
        <v>0</v>
      </c>
      <c r="F22" s="14">
        <f t="shared" si="0"/>
        <v>0</v>
      </c>
    </row>
    <row r="23" spans="1:6" ht="12.75">
      <c r="A23" s="12" t="s">
        <v>18</v>
      </c>
      <c r="B23" s="13">
        <f>Result_SSE!B23</f>
        <v>87.5</v>
      </c>
      <c r="C23" s="14">
        <f>Result_SSE!D23</f>
        <v>541639.3333333334</v>
      </c>
      <c r="D23" s="14">
        <f t="shared" si="1"/>
        <v>0</v>
      </c>
      <c r="E23" s="14">
        <f t="shared" si="2"/>
        <v>0</v>
      </c>
      <c r="F23" s="14">
        <f t="shared" si="0"/>
        <v>0</v>
      </c>
    </row>
    <row r="24" spans="1:6" ht="12.75">
      <c r="A24" s="12" t="s">
        <v>19</v>
      </c>
      <c r="B24" s="13">
        <f>Result_SSE!B24</f>
        <v>75.1</v>
      </c>
      <c r="C24" s="14">
        <f>Result_SSE!D24</f>
        <v>227280</v>
      </c>
      <c r="D24" s="14">
        <f t="shared" si="1"/>
        <v>0</v>
      </c>
      <c r="E24" s="14">
        <f t="shared" si="2"/>
        <v>0</v>
      </c>
      <c r="F24" s="14">
        <f t="shared" si="0"/>
        <v>0</v>
      </c>
    </row>
    <row r="25" spans="1:6" ht="12.75">
      <c r="A25" s="12" t="s">
        <v>20</v>
      </c>
      <c r="B25" s="13">
        <f>Result_SSE!B25</f>
        <v>102.2</v>
      </c>
      <c r="C25" s="14">
        <f>Result_SSE!D25</f>
        <v>307755.6666666667</v>
      </c>
      <c r="D25" s="14">
        <f t="shared" si="1"/>
        <v>677062.4666666676</v>
      </c>
      <c r="E25" s="14">
        <f t="shared" si="2"/>
        <v>27.72695208197734</v>
      </c>
      <c r="F25" s="14">
        <f t="shared" si="0"/>
        <v>8533126.622623658</v>
      </c>
    </row>
    <row r="26" spans="1:6" ht="12.75">
      <c r="A26" s="12" t="s">
        <v>21</v>
      </c>
      <c r="B26" s="13">
        <f>Result_SSE!B26</f>
        <v>98.2</v>
      </c>
      <c r="C26" s="14">
        <f>Result_SSE!D26</f>
        <v>629096</v>
      </c>
      <c r="D26" s="14">
        <f t="shared" si="1"/>
        <v>0</v>
      </c>
      <c r="E26" s="14">
        <f t="shared" si="2"/>
        <v>0</v>
      </c>
      <c r="F26" s="14">
        <f t="shared" si="0"/>
        <v>0</v>
      </c>
    </row>
    <row r="27" spans="1:6" ht="12.75">
      <c r="A27" s="12" t="s">
        <v>22</v>
      </c>
      <c r="B27" s="13">
        <f>Result_SSE!B27</f>
        <v>62.3</v>
      </c>
      <c r="C27" s="14">
        <f>Result_SSE!D27</f>
        <v>273244.3333333333</v>
      </c>
      <c r="D27" s="14">
        <f t="shared" si="1"/>
        <v>0</v>
      </c>
      <c r="E27" s="14">
        <f t="shared" si="2"/>
        <v>0</v>
      </c>
      <c r="F27" s="14">
        <f t="shared" si="0"/>
        <v>0</v>
      </c>
    </row>
    <row r="28" spans="1:6" ht="12.75">
      <c r="A28" s="12" t="s">
        <v>23</v>
      </c>
      <c r="B28" s="13">
        <f>Result_SSE!B28</f>
        <v>92.1</v>
      </c>
      <c r="C28" s="14">
        <f>Result_SSE!D28</f>
        <v>166375.66666666666</v>
      </c>
      <c r="D28" s="14">
        <f t="shared" si="1"/>
        <v>0</v>
      </c>
      <c r="E28" s="14">
        <f t="shared" si="2"/>
        <v>0</v>
      </c>
      <c r="F28" s="14">
        <f t="shared" si="0"/>
        <v>0</v>
      </c>
    </row>
    <row r="29" spans="1:6" ht="12.75">
      <c r="A29" s="12" t="s">
        <v>24</v>
      </c>
      <c r="B29" s="13">
        <f>Result_SSE!B29</f>
        <v>158.2</v>
      </c>
      <c r="C29" s="14">
        <f>Result_SSE!D29</f>
        <v>409828</v>
      </c>
      <c r="D29" s="14">
        <f t="shared" si="1"/>
        <v>23851989.599999994</v>
      </c>
      <c r="E29" s="14">
        <f t="shared" si="2"/>
        <v>733.5039141686722</v>
      </c>
      <c r="F29" s="14">
        <f t="shared" si="0"/>
        <v>300610442.13591856</v>
      </c>
    </row>
    <row r="30" spans="1:6" ht="12.75">
      <c r="A30" s="12" t="s">
        <v>25</v>
      </c>
      <c r="B30" s="13">
        <f>Result_SSE!B30</f>
        <v>66.2</v>
      </c>
      <c r="C30" s="14">
        <f>Result_SSE!D30</f>
        <v>67420.66666666667</v>
      </c>
      <c r="D30" s="14">
        <f t="shared" si="1"/>
        <v>0</v>
      </c>
      <c r="E30" s="14">
        <f t="shared" si="2"/>
        <v>0</v>
      </c>
      <c r="F30" s="14">
        <f t="shared" si="0"/>
        <v>0</v>
      </c>
    </row>
    <row r="31" spans="1:6" ht="12.75">
      <c r="A31" s="12" t="s">
        <v>26</v>
      </c>
      <c r="B31" s="13">
        <f>Result_SSE!B31</f>
        <v>100</v>
      </c>
      <c r="C31" s="14">
        <f>Result_SSE!D31</f>
        <v>7220331.333333333</v>
      </c>
      <c r="D31" s="15">
        <f>SUM(D5:D30)</f>
        <v>91053033.6</v>
      </c>
      <c r="E31" s="15"/>
      <c r="F31" s="15">
        <f>SUM(F5:F30)</f>
        <v>1147555954.3390315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1"/>
  <sheetViews>
    <sheetView tabSelected="1" workbookViewId="0" topLeftCell="A1">
      <selection activeCell="F16" sqref="F16"/>
    </sheetView>
  </sheetViews>
  <sheetFormatPr defaultColWidth="11.421875" defaultRowHeight="12.75"/>
  <cols>
    <col min="3" max="3" width="12.421875" style="0" customWidth="1"/>
    <col min="4" max="6" width="13.00390625" style="0" customWidth="1"/>
    <col min="8" max="8" width="11.28125" style="0" customWidth="1"/>
    <col min="9" max="9" width="12.421875" style="0" customWidth="1"/>
    <col min="10" max="10" width="14.8515625" style="0" customWidth="1"/>
  </cols>
  <sheetData>
    <row r="4" spans="1:9" ht="51">
      <c r="A4" s="12"/>
      <c r="B4" s="30" t="s">
        <v>49</v>
      </c>
      <c r="C4" s="30" t="s">
        <v>50</v>
      </c>
      <c r="D4" s="30" t="s">
        <v>51</v>
      </c>
      <c r="E4" s="30" t="s">
        <v>52</v>
      </c>
      <c r="F4" s="12" t="s">
        <v>53</v>
      </c>
      <c r="H4" s="55" t="s">
        <v>47</v>
      </c>
      <c r="I4" s="56"/>
    </row>
    <row r="5" spans="1:10" ht="12.75">
      <c r="A5" s="12" t="s">
        <v>0</v>
      </c>
      <c r="B5" s="13">
        <f>Result_SSE!B5</f>
        <v>132.1</v>
      </c>
      <c r="C5" s="14">
        <f>Result_SSE!D5</f>
        <v>1224586.6666666667</v>
      </c>
      <c r="D5" s="14">
        <f>IF(B5&lt;100,(100-RI)^(1+p)*BEV,0)</f>
        <v>0</v>
      </c>
      <c r="E5" s="14">
        <f>IF(B5&lt;100,B/SUM*(100-RI)^(1+p),0)</f>
        <v>0</v>
      </c>
      <c r="F5" s="14">
        <f>E5*BEV</f>
        <v>0</v>
      </c>
      <c r="H5" s="29" t="s">
        <v>27</v>
      </c>
      <c r="I5" s="29">
        <v>0.7297893751734302</v>
      </c>
      <c r="J5" s="1"/>
    </row>
    <row r="6" spans="1:9" ht="12.75">
      <c r="A6" s="12" t="s">
        <v>1</v>
      </c>
      <c r="B6" s="13">
        <f>Result_SSE!B6</f>
        <v>73.8</v>
      </c>
      <c r="C6" s="14">
        <f>Result_SSE!D6</f>
        <v>951093.6666666666</v>
      </c>
      <c r="D6" s="14">
        <f aca="true" t="shared" si="0" ref="D6:D30">IF(B6&lt;100,(100-RI)^(1+p)*BEV,0)</f>
        <v>270138070.9405529</v>
      </c>
      <c r="E6" s="14">
        <f aca="true" t="shared" si="1" ref="E6:E30">IF(B6&lt;100,B/SUM*(100-RI)^(1+p),0)</f>
        <v>837.4632299167785</v>
      </c>
      <c r="F6" s="14">
        <f aca="true" t="shared" si="2" ref="F6:F30">E6*BEV</f>
        <v>796505974.0400585</v>
      </c>
      <c r="H6" s="29" t="s">
        <v>28</v>
      </c>
      <c r="I6" s="29">
        <f>(RI_26/RI_MIN)*p</f>
        <v>0.7297893704404586</v>
      </c>
    </row>
    <row r="7" spans="1:9" ht="12.75">
      <c r="A7" s="12" t="s">
        <v>2</v>
      </c>
      <c r="B7" s="13">
        <f>Result_SSE!B7</f>
        <v>75.7</v>
      </c>
      <c r="C7" s="14">
        <f>Result_SSE!D7</f>
        <v>345676.6666666667</v>
      </c>
      <c r="D7" s="14">
        <f t="shared" si="0"/>
        <v>86194007.98659144</v>
      </c>
      <c r="E7" s="14">
        <f t="shared" si="1"/>
        <v>735.208049801013</v>
      </c>
      <c r="F7" s="14">
        <f t="shared" si="2"/>
        <v>254144267.96171483</v>
      </c>
      <c r="H7" s="29" t="s">
        <v>29</v>
      </c>
      <c r="I7" s="31">
        <f>MIN(B5:B30)</f>
        <v>62.3</v>
      </c>
    </row>
    <row r="8" spans="1:9" ht="12.75">
      <c r="A8" s="12" t="s">
        <v>3</v>
      </c>
      <c r="B8" s="13">
        <f>Result_SSE!B8</f>
        <v>65.5</v>
      </c>
      <c r="C8" s="14">
        <f>Result_SSE!D8</f>
        <v>34509.666666666664</v>
      </c>
      <c r="D8" s="14">
        <f t="shared" si="0"/>
        <v>15777707.336801184</v>
      </c>
      <c r="E8" s="14">
        <f t="shared" si="1"/>
        <v>1348.051161223529</v>
      </c>
      <c r="F8" s="14">
        <f t="shared" si="2"/>
        <v>46520796.223436914</v>
      </c>
      <c r="H8" s="29" t="s">
        <v>30</v>
      </c>
      <c r="I8" s="31">
        <f>100-((sse*SUM)/((1+p)*B*100))^(1/p)</f>
        <v>62.30000040404005</v>
      </c>
    </row>
    <row r="9" spans="1:6" ht="12.75">
      <c r="A9" s="12" t="s">
        <v>4</v>
      </c>
      <c r="B9" s="13">
        <f>Result_SSE!B9</f>
        <v>133.5</v>
      </c>
      <c r="C9" s="14">
        <f>Result_SSE!D9</f>
        <v>128241.33333333333</v>
      </c>
      <c r="D9" s="14">
        <f t="shared" si="0"/>
        <v>0</v>
      </c>
      <c r="E9" s="14">
        <f t="shared" si="1"/>
        <v>0</v>
      </c>
      <c r="F9" s="14">
        <f t="shared" si="2"/>
        <v>0</v>
      </c>
    </row>
    <row r="10" spans="1:6" ht="12.75">
      <c r="A10" s="12" t="s">
        <v>5</v>
      </c>
      <c r="B10" s="13">
        <f>Result_SSE!B10</f>
        <v>66.4</v>
      </c>
      <c r="C10" s="14">
        <f>Result_SSE!D10</f>
        <v>32201.666666666668</v>
      </c>
      <c r="D10" s="14">
        <f t="shared" si="0"/>
        <v>14064484.380005553</v>
      </c>
      <c r="E10" s="14">
        <f t="shared" si="1"/>
        <v>1287.8008523309045</v>
      </c>
      <c r="F10" s="14">
        <f t="shared" si="2"/>
        <v>41469333.77980901</v>
      </c>
    </row>
    <row r="11" spans="1:6" ht="12.75">
      <c r="A11" s="12" t="s">
        <v>6</v>
      </c>
      <c r="B11" s="13">
        <f>Result_SSE!B11</f>
        <v>124.8</v>
      </c>
      <c r="C11" s="14">
        <f>Result_SSE!D11</f>
        <v>37027.666666666664</v>
      </c>
      <c r="D11" s="14">
        <f t="shared" si="0"/>
        <v>0</v>
      </c>
      <c r="E11" s="14">
        <f t="shared" si="1"/>
        <v>0</v>
      </c>
      <c r="F11" s="14">
        <f t="shared" si="2"/>
        <v>0</v>
      </c>
    </row>
    <row r="12" spans="1:9" ht="12.75">
      <c r="A12" s="12" t="s">
        <v>7</v>
      </c>
      <c r="B12" s="13">
        <f>Result_SSE!B12</f>
        <v>93.1</v>
      </c>
      <c r="C12" s="14">
        <f>Result_SSE!D12</f>
        <v>38190</v>
      </c>
      <c r="D12" s="14">
        <f t="shared" si="0"/>
        <v>1078901.763346276</v>
      </c>
      <c r="E12" s="14">
        <f t="shared" si="1"/>
        <v>83.29817525679613</v>
      </c>
      <c r="F12" s="14">
        <f t="shared" si="2"/>
        <v>3181157.313057044</v>
      </c>
      <c r="H12" s="46" t="s">
        <v>35</v>
      </c>
      <c r="I12" s="47">
        <f>Eingabe_RA!C12</f>
        <v>2786921603.3947906</v>
      </c>
    </row>
    <row r="13" spans="1:9" ht="12.75">
      <c r="A13" s="12" t="s">
        <v>8</v>
      </c>
      <c r="B13" s="13">
        <f>Result_SSE!B13</f>
        <v>205.8</v>
      </c>
      <c r="C13" s="14">
        <f>Result_SSE!D13</f>
        <v>98695.66666666667</v>
      </c>
      <c r="D13" s="14">
        <f t="shared" si="0"/>
        <v>0</v>
      </c>
      <c r="E13" s="14">
        <f t="shared" si="1"/>
        <v>0</v>
      </c>
      <c r="F13" s="14">
        <f t="shared" si="2"/>
        <v>0</v>
      </c>
      <c r="H13" s="46" t="s">
        <v>34</v>
      </c>
      <c r="I13" s="47">
        <f>'Stand. Steuern'!F9</f>
        <v>7210.969092692609</v>
      </c>
    </row>
    <row r="14" spans="1:6" ht="12.75">
      <c r="A14" s="12" t="s">
        <v>9</v>
      </c>
      <c r="B14" s="13">
        <f>Result_SSE!B14</f>
        <v>74.6</v>
      </c>
      <c r="C14" s="14">
        <f>Result_SSE!D14</f>
        <v>238035.66666666666</v>
      </c>
      <c r="D14" s="14">
        <f t="shared" si="0"/>
        <v>64077929.815229855</v>
      </c>
      <c r="E14" s="14">
        <f t="shared" si="1"/>
        <v>793.7243066589855</v>
      </c>
      <c r="F14" s="14">
        <f t="shared" si="2"/>
        <v>188934694.4851094</v>
      </c>
    </row>
    <row r="15" spans="1:6" ht="12.75">
      <c r="A15" s="12" t="s">
        <v>10</v>
      </c>
      <c r="B15" s="13">
        <f>Result_SSE!B15</f>
        <v>75.1</v>
      </c>
      <c r="C15" s="14">
        <f>Result_SSE!D15</f>
        <v>242429.33333333334</v>
      </c>
      <c r="D15" s="14">
        <f t="shared" si="0"/>
        <v>63054482.17023529</v>
      </c>
      <c r="E15" s="14">
        <f t="shared" si="1"/>
        <v>766.8917035679101</v>
      </c>
      <c r="F15" s="14">
        <f t="shared" si="2"/>
        <v>185917044.43483275</v>
      </c>
    </row>
    <row r="16" spans="1:6" ht="12.75">
      <c r="A16" s="12" t="s">
        <v>11</v>
      </c>
      <c r="B16" s="13">
        <f>Result_SSE!B16</f>
        <v>148.7</v>
      </c>
      <c r="C16" s="14">
        <f>Result_SSE!D16</f>
        <v>191355</v>
      </c>
      <c r="D16" s="14">
        <f t="shared" si="0"/>
        <v>0</v>
      </c>
      <c r="E16" s="14">
        <f t="shared" si="1"/>
        <v>0</v>
      </c>
      <c r="F16" s="14">
        <f t="shared" si="2"/>
        <v>0</v>
      </c>
    </row>
    <row r="17" spans="1:6" ht="12.75">
      <c r="A17" s="12" t="s">
        <v>12</v>
      </c>
      <c r="B17" s="13">
        <f>Result_SSE!B17</f>
        <v>108.7</v>
      </c>
      <c r="C17" s="14">
        <f>Result_SSE!D17</f>
        <v>257401</v>
      </c>
      <c r="D17" s="14">
        <f t="shared" si="0"/>
        <v>0</v>
      </c>
      <c r="E17" s="14">
        <f t="shared" si="1"/>
        <v>0</v>
      </c>
      <c r="F17" s="14">
        <f t="shared" si="2"/>
        <v>0</v>
      </c>
    </row>
    <row r="18" spans="1:6" ht="12.75">
      <c r="A18" s="12" t="s">
        <v>13</v>
      </c>
      <c r="B18" s="13">
        <f>Result_SSE!B18</f>
        <v>93.1</v>
      </c>
      <c r="C18" s="14">
        <f>Result_SSE!D18</f>
        <v>73119</v>
      </c>
      <c r="D18" s="14">
        <f t="shared" si="0"/>
        <v>2065677.3509849792</v>
      </c>
      <c r="E18" s="14">
        <f t="shared" si="1"/>
        <v>83.29817525679613</v>
      </c>
      <c r="F18" s="14">
        <f t="shared" si="2"/>
        <v>6090679.276601676</v>
      </c>
    </row>
    <row r="19" spans="1:6" ht="12.75">
      <c r="A19" s="12" t="s">
        <v>14</v>
      </c>
      <c r="B19" s="13">
        <f>Result_SSE!B19</f>
        <v>78.5</v>
      </c>
      <c r="C19" s="14">
        <f>Result_SSE!D19</f>
        <v>53160.333333333336</v>
      </c>
      <c r="D19" s="14">
        <f t="shared" si="0"/>
        <v>10725698.54276667</v>
      </c>
      <c r="E19" s="14">
        <f t="shared" si="1"/>
        <v>594.8961171068247</v>
      </c>
      <c r="F19" s="14">
        <f t="shared" si="2"/>
        <v>31624875.884104505</v>
      </c>
    </row>
    <row r="20" spans="1:6" ht="12.75">
      <c r="A20" s="12" t="s">
        <v>15</v>
      </c>
      <c r="B20" s="13">
        <f>Result_SSE!B20</f>
        <v>82.3</v>
      </c>
      <c r="C20" s="14">
        <f>Result_SSE!D20</f>
        <v>14635.666666666666</v>
      </c>
      <c r="D20" s="14">
        <f t="shared" si="0"/>
        <v>2109324.5451189964</v>
      </c>
      <c r="E20" s="14">
        <f t="shared" si="1"/>
        <v>424.9463858221895</v>
      </c>
      <c r="F20" s="14">
        <f t="shared" si="2"/>
        <v>6219373.654098291</v>
      </c>
    </row>
    <row r="21" spans="1:6" ht="12.75">
      <c r="A21" s="12" t="s">
        <v>16</v>
      </c>
      <c r="B21" s="13">
        <f>Result_SSE!B21</f>
        <v>76.6</v>
      </c>
      <c r="C21" s="14">
        <f>Result_SSE!D21</f>
        <v>448787</v>
      </c>
      <c r="D21" s="14">
        <f t="shared" si="0"/>
        <v>104832347.42384146</v>
      </c>
      <c r="E21" s="14">
        <f t="shared" si="1"/>
        <v>688.7447250802354</v>
      </c>
      <c r="F21" s="14">
        <f t="shared" si="2"/>
        <v>309099678.9345836</v>
      </c>
    </row>
    <row r="22" spans="1:6" ht="12.75">
      <c r="A22" s="12" t="s">
        <v>17</v>
      </c>
      <c r="B22" s="13">
        <f>Result_SSE!B22</f>
        <v>82.7</v>
      </c>
      <c r="C22" s="14">
        <f>Result_SSE!D22</f>
        <v>188545.66666666666</v>
      </c>
      <c r="D22" s="14">
        <f t="shared" si="0"/>
        <v>26120143.025133844</v>
      </c>
      <c r="E22" s="14">
        <f t="shared" si="1"/>
        <v>408.4719497909113</v>
      </c>
      <c r="F22" s="14">
        <f t="shared" si="2"/>
        <v>77015616.08796056</v>
      </c>
    </row>
    <row r="23" spans="1:6" ht="12.75">
      <c r="A23" s="12" t="s">
        <v>18</v>
      </c>
      <c r="B23" s="13">
        <f>Result_SSE!B23</f>
        <v>87.5</v>
      </c>
      <c r="C23" s="14">
        <f>Result_SSE!D23</f>
        <v>541639.3333333334</v>
      </c>
      <c r="D23" s="14">
        <f t="shared" si="0"/>
        <v>42769431.82821949</v>
      </c>
      <c r="E23" s="14">
        <f t="shared" si="1"/>
        <v>232.82334756041672</v>
      </c>
      <c r="F23" s="14">
        <f t="shared" si="2"/>
        <v>126106282.75705908</v>
      </c>
    </row>
    <row r="24" spans="1:6" ht="12.75">
      <c r="A24" s="12" t="s">
        <v>19</v>
      </c>
      <c r="B24" s="13">
        <f>Result_SSE!B24</f>
        <v>75.1</v>
      </c>
      <c r="C24" s="14">
        <f>Result_SSE!D24</f>
        <v>227280</v>
      </c>
      <c r="D24" s="14">
        <f t="shared" si="0"/>
        <v>59114227.27028801</v>
      </c>
      <c r="E24" s="14">
        <f t="shared" si="1"/>
        <v>766.8917035679101</v>
      </c>
      <c r="F24" s="14">
        <f t="shared" si="2"/>
        <v>174299146.3869146</v>
      </c>
    </row>
    <row r="25" spans="1:6" ht="12.75">
      <c r="A25" s="12" t="s">
        <v>20</v>
      </c>
      <c r="B25" s="13">
        <f>Result_SSE!B25</f>
        <v>102.2</v>
      </c>
      <c r="C25" s="14">
        <f>Result_SSE!D25</f>
        <v>307755.6666666667</v>
      </c>
      <c r="D25" s="14">
        <f t="shared" si="0"/>
        <v>0</v>
      </c>
      <c r="E25" s="14">
        <f t="shared" si="1"/>
        <v>0</v>
      </c>
      <c r="F25" s="14">
        <f t="shared" si="2"/>
        <v>0</v>
      </c>
    </row>
    <row r="26" spans="1:6" ht="12.75">
      <c r="A26" s="12" t="s">
        <v>21</v>
      </c>
      <c r="B26" s="13">
        <f>Result_SSE!B26</f>
        <v>98.2</v>
      </c>
      <c r="C26" s="14">
        <f>Result_SSE!D26</f>
        <v>629096</v>
      </c>
      <c r="D26" s="14">
        <f t="shared" si="0"/>
        <v>1738939.9737613031</v>
      </c>
      <c r="E26" s="14">
        <f t="shared" si="1"/>
        <v>8.15024962287403</v>
      </c>
      <c r="F26" s="14">
        <f t="shared" si="2"/>
        <v>5127289.436751561</v>
      </c>
    </row>
    <row r="27" spans="1:6" ht="12.75">
      <c r="A27" s="12" t="s">
        <v>22</v>
      </c>
      <c r="B27" s="13">
        <f>Result_SSE!B27</f>
        <v>62.3</v>
      </c>
      <c r="C27" s="14">
        <f>Result_SSE!D27</f>
        <v>273244.3333333333</v>
      </c>
      <c r="D27" s="14">
        <f t="shared" si="0"/>
        <v>145643022.55651283</v>
      </c>
      <c r="E27" s="14">
        <f t="shared" si="1"/>
        <v>1571.5990676235442</v>
      </c>
      <c r="F27" s="14">
        <f t="shared" si="2"/>
        <v>429430539.50008357</v>
      </c>
    </row>
    <row r="28" spans="1:6" ht="12.75">
      <c r="A28" s="12" t="s">
        <v>23</v>
      </c>
      <c r="B28" s="13">
        <f>Result_SSE!B28</f>
        <v>92.1</v>
      </c>
      <c r="C28" s="14">
        <f>Result_SSE!D28</f>
        <v>166375.66666666666</v>
      </c>
      <c r="D28" s="14">
        <f t="shared" si="0"/>
        <v>5940125.410410343</v>
      </c>
      <c r="E28" s="14">
        <f t="shared" si="1"/>
        <v>105.2710727652622</v>
      </c>
      <c r="F28" s="14">
        <f t="shared" si="2"/>
        <v>17514544.912035674</v>
      </c>
    </row>
    <row r="29" spans="1:6" ht="12.75">
      <c r="A29" s="12" t="s">
        <v>24</v>
      </c>
      <c r="B29" s="13">
        <f>Result_SSE!B29</f>
        <v>158.2</v>
      </c>
      <c r="C29" s="14">
        <f>Result_SSE!D29</f>
        <v>409828</v>
      </c>
      <c r="D29" s="14">
        <f t="shared" si="0"/>
        <v>0</v>
      </c>
      <c r="E29" s="14">
        <f t="shared" si="1"/>
        <v>0</v>
      </c>
      <c r="F29" s="14">
        <f t="shared" si="2"/>
        <v>0</v>
      </c>
    </row>
    <row r="30" spans="1:6" ht="12.75">
      <c r="A30" s="12" t="s">
        <v>25</v>
      </c>
      <c r="B30" s="13">
        <f>Result_SSE!B30</f>
        <v>66.2</v>
      </c>
      <c r="C30" s="14">
        <f>Result_SSE!D30</f>
        <v>67420.66666666667</v>
      </c>
      <c r="D30" s="14">
        <f t="shared" si="0"/>
        <v>29750680.655234925</v>
      </c>
      <c r="E30" s="14">
        <f t="shared" si="1"/>
        <v>1301.0893048607131</v>
      </c>
      <c r="F30" s="14">
        <f t="shared" si="2"/>
        <v>87720308.3265792</v>
      </c>
    </row>
    <row r="31" spans="1:6" ht="12.75">
      <c r="A31" s="12" t="s">
        <v>26</v>
      </c>
      <c r="B31" s="13">
        <f>Result_SSE!B31</f>
        <v>100</v>
      </c>
      <c r="C31" s="15">
        <f>SUM(C5:C30)</f>
        <v>7220331.333333334</v>
      </c>
      <c r="D31" s="15">
        <f>SUM(D5:D30)</f>
        <v>945195202.9750353</v>
      </c>
      <c r="E31" s="15"/>
      <c r="F31" s="15">
        <f>SUM(F5:F30)</f>
        <v>2786921603.39479</v>
      </c>
    </row>
  </sheetData>
  <mergeCells count="1">
    <mergeCell ref="H4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3"/>
  <sheetViews>
    <sheetView workbookViewId="0" topLeftCell="A1">
      <selection activeCell="B5" sqref="B5:D31"/>
    </sheetView>
  </sheetViews>
  <sheetFormatPr defaultColWidth="11.421875" defaultRowHeight="12.75"/>
  <cols>
    <col min="3" max="3" width="15.8515625" style="0" customWidth="1"/>
    <col min="4" max="4" width="15.28125" style="0" customWidth="1"/>
    <col min="5" max="5" width="15.57421875" style="0" customWidth="1"/>
    <col min="6" max="6" width="15.140625" style="0" customWidth="1"/>
    <col min="7" max="7" width="17.57421875" style="0" customWidth="1"/>
    <col min="8" max="8" width="13.421875" style="0" customWidth="1"/>
    <col min="9" max="9" width="7.00390625" style="0" customWidth="1"/>
    <col min="10" max="10" width="17.00390625" style="0" customWidth="1"/>
    <col min="11" max="11" width="16.7109375" style="0" customWidth="1"/>
    <col min="12" max="12" width="17.57421875" style="0" customWidth="1"/>
  </cols>
  <sheetData>
    <row r="3" ht="12.75">
      <c r="D3" s="10"/>
    </row>
    <row r="4" spans="1:12" ht="69" customHeight="1">
      <c r="A4" s="12"/>
      <c r="B4" s="44" t="s">
        <v>57</v>
      </c>
      <c r="C4" s="44" t="s">
        <v>58</v>
      </c>
      <c r="D4" s="45" t="s">
        <v>50</v>
      </c>
      <c r="E4" s="44" t="s">
        <v>61</v>
      </c>
      <c r="F4" s="45" t="s">
        <v>59</v>
      </c>
      <c r="G4" s="44" t="s">
        <v>60</v>
      </c>
      <c r="H4" s="45" t="s">
        <v>62</v>
      </c>
      <c r="I4" s="9"/>
      <c r="J4" s="12"/>
      <c r="K4" s="45" t="s">
        <v>63</v>
      </c>
      <c r="L4" s="51" t="s">
        <v>64</v>
      </c>
    </row>
    <row r="5" spans="1:12" ht="12.75">
      <c r="A5" s="12" t="s">
        <v>0</v>
      </c>
      <c r="B5" s="22">
        <v>132.1</v>
      </c>
      <c r="C5" s="23">
        <v>11667629625.033552</v>
      </c>
      <c r="D5" s="24">
        <v>1224586.6666666667</v>
      </c>
      <c r="E5" s="14">
        <f>C5/D5</f>
        <v>9527.810438107186</v>
      </c>
      <c r="F5" s="14">
        <f>IF(B5&gt;100,-Berechnung_Einzahlung!F5,Berechnung_Auszahlung!F5)/D5</f>
        <v>-404.56143719612334</v>
      </c>
      <c r="G5" s="14">
        <f aca="true" t="shared" si="0" ref="G5:G30">E5+F5</f>
        <v>9123.249000911062</v>
      </c>
      <c r="H5" s="25">
        <f aca="true" t="shared" si="1" ref="H5:H30">G5/E$31*100</f>
        <v>126.51904180474583</v>
      </c>
      <c r="I5" s="7"/>
      <c r="J5" s="12" t="s">
        <v>0</v>
      </c>
      <c r="K5" s="14">
        <f>E5-E$31</f>
        <v>2316.8413454145775</v>
      </c>
      <c r="L5" s="52">
        <f aca="true" t="shared" si="2" ref="L5:L30">F5/K5</f>
        <v>-0.1746176698705844</v>
      </c>
    </row>
    <row r="6" spans="1:12" ht="12.75">
      <c r="A6" s="12" t="s">
        <v>1</v>
      </c>
      <c r="B6" s="22">
        <v>73.8</v>
      </c>
      <c r="C6" s="23">
        <v>5061153858.289973</v>
      </c>
      <c r="D6" s="24">
        <v>951093.6666666666</v>
      </c>
      <c r="E6" s="14">
        <f aca="true" t="shared" si="3" ref="E6:E31">C6/D6</f>
        <v>5321.404227228205</v>
      </c>
      <c r="F6" s="14">
        <f>IF(B6&gt;100,-Berechnung_Einzahlung!F6,Berechnung_Auszahlung!F6)/D6</f>
        <v>837.4632299167785</v>
      </c>
      <c r="G6" s="14">
        <f t="shared" si="0"/>
        <v>6158.867457144984</v>
      </c>
      <c r="H6" s="25">
        <f t="shared" si="1"/>
        <v>85.40970538046273</v>
      </c>
      <c r="I6" s="7"/>
      <c r="J6" s="12" t="s">
        <v>1</v>
      </c>
      <c r="K6" s="14">
        <f aca="true" t="shared" si="4" ref="K6:K31">E6-E$31</f>
        <v>-1889.5648654644037</v>
      </c>
      <c r="L6" s="52">
        <f t="shared" si="2"/>
        <v>-0.44320427693333125</v>
      </c>
    </row>
    <row r="7" spans="1:12" ht="12.75">
      <c r="A7" s="12" t="s">
        <v>2</v>
      </c>
      <c r="B7" s="22">
        <v>75.7</v>
      </c>
      <c r="C7" s="23">
        <v>1887924317.4071937</v>
      </c>
      <c r="D7" s="24">
        <v>345676.6666666667</v>
      </c>
      <c r="E7" s="14">
        <f t="shared" si="3"/>
        <v>5461.532407183573</v>
      </c>
      <c r="F7" s="14">
        <f>IF(B7&gt;100,-Berechnung_Einzahlung!F7,Berechnung_Auszahlung!F7)/D7</f>
        <v>735.208049801013</v>
      </c>
      <c r="G7" s="14">
        <f t="shared" si="0"/>
        <v>6196.740456984586</v>
      </c>
      <c r="H7" s="25">
        <f t="shared" si="1"/>
        <v>85.9349191118318</v>
      </c>
      <c r="I7" s="7"/>
      <c r="J7" s="12" t="s">
        <v>2</v>
      </c>
      <c r="K7" s="14">
        <f t="shared" si="4"/>
        <v>-1749.4366855090357</v>
      </c>
      <c r="L7" s="52">
        <f t="shared" si="2"/>
        <v>-0.4202541628919189</v>
      </c>
    </row>
    <row r="8" spans="1:12" ht="12.75">
      <c r="A8" s="12" t="s">
        <v>3</v>
      </c>
      <c r="B8" s="22">
        <v>65.5</v>
      </c>
      <c r="C8" s="23">
        <v>162977096.61239663</v>
      </c>
      <c r="D8" s="24">
        <v>34509.666666666664</v>
      </c>
      <c r="E8" s="14">
        <f t="shared" si="3"/>
        <v>4722.650560105767</v>
      </c>
      <c r="F8" s="14">
        <f>IF(B8&gt;100,-Berechnung_Einzahlung!F8,Berechnung_Auszahlung!F8)/D8</f>
        <v>1348.051161223529</v>
      </c>
      <c r="G8" s="14">
        <f t="shared" si="0"/>
        <v>6070.701721329297</v>
      </c>
      <c r="H8" s="25">
        <f t="shared" si="1"/>
        <v>84.18704397833535</v>
      </c>
      <c r="I8" s="7"/>
      <c r="J8" s="12" t="s">
        <v>3</v>
      </c>
      <c r="K8" s="14">
        <f t="shared" si="4"/>
        <v>-2488.3185325868417</v>
      </c>
      <c r="L8" s="52">
        <f t="shared" si="2"/>
        <v>-0.5417518471086187</v>
      </c>
    </row>
    <row r="9" spans="1:12" ht="12.75">
      <c r="A9" s="12" t="s">
        <v>4</v>
      </c>
      <c r="B9" s="22">
        <v>133.5</v>
      </c>
      <c r="C9" s="23">
        <v>1234277227.6017761</v>
      </c>
      <c r="D9" s="24">
        <v>128241.33333333333</v>
      </c>
      <c r="E9" s="14">
        <f t="shared" si="3"/>
        <v>9624.64437572215</v>
      </c>
      <c r="F9" s="14">
        <f>IF(B9&gt;100,-Berechnung_Einzahlung!F9,Berechnung_Auszahlung!F9)/D9</f>
        <v>-422.2058612482908</v>
      </c>
      <c r="G9" s="14">
        <f t="shared" si="0"/>
        <v>9202.438514473859</v>
      </c>
      <c r="H9" s="25">
        <f t="shared" si="1"/>
        <v>127.61722309695307</v>
      </c>
      <c r="I9" s="7"/>
      <c r="J9" s="12" t="s">
        <v>4</v>
      </c>
      <c r="K9" s="14">
        <f t="shared" si="4"/>
        <v>2413.675283029541</v>
      </c>
      <c r="L9" s="52">
        <f t="shared" si="2"/>
        <v>-0.17492239499521917</v>
      </c>
    </row>
    <row r="10" spans="1:12" ht="12.75">
      <c r="A10" s="12" t="s">
        <v>5</v>
      </c>
      <c r="B10" s="22">
        <v>66.4</v>
      </c>
      <c r="C10" s="23">
        <v>154098705.9081313</v>
      </c>
      <c r="D10" s="24">
        <v>32201.666666666668</v>
      </c>
      <c r="E10" s="14">
        <f t="shared" si="3"/>
        <v>4785.426403647781</v>
      </c>
      <c r="F10" s="14">
        <f>IF(B10&gt;100,-Berechnung_Einzahlung!F10,Berechnung_Auszahlung!F10)/D10</f>
        <v>1287.8008523309045</v>
      </c>
      <c r="G10" s="14">
        <f t="shared" si="0"/>
        <v>6073.227255978685</v>
      </c>
      <c r="H10" s="25">
        <f t="shared" si="1"/>
        <v>84.2220674906667</v>
      </c>
      <c r="I10" s="7"/>
      <c r="J10" s="12" t="s">
        <v>5</v>
      </c>
      <c r="K10" s="14">
        <f t="shared" si="4"/>
        <v>-2425.542689044828</v>
      </c>
      <c r="L10" s="52">
        <f t="shared" si="2"/>
        <v>-0.530933080727611</v>
      </c>
    </row>
    <row r="11" spans="1:12" ht="12.75">
      <c r="A11" s="12" t="s">
        <v>6</v>
      </c>
      <c r="B11" s="22">
        <v>124.8</v>
      </c>
      <c r="C11" s="23">
        <v>333158470.59033155</v>
      </c>
      <c r="D11" s="24">
        <v>37027.666666666664</v>
      </c>
      <c r="E11" s="14">
        <f t="shared" si="3"/>
        <v>8997.555087376059</v>
      </c>
      <c r="F11" s="14">
        <f>IF(B11&gt;100,-Berechnung_Einzahlung!F11,Berechnung_Auszahlung!F11)/D11</f>
        <v>-312.55836892410775</v>
      </c>
      <c r="G11" s="14">
        <f t="shared" si="0"/>
        <v>8684.99671845195</v>
      </c>
      <c r="H11" s="25">
        <f t="shared" si="1"/>
        <v>120.44146364811186</v>
      </c>
      <c r="I11" s="7"/>
      <c r="J11" s="12" t="s">
        <v>6</v>
      </c>
      <c r="K11" s="14">
        <f t="shared" si="4"/>
        <v>1786.5859946834498</v>
      </c>
      <c r="L11" s="52">
        <f t="shared" si="2"/>
        <v>-0.17494728485179206</v>
      </c>
    </row>
    <row r="12" spans="1:12" ht="12.75">
      <c r="A12" s="12" t="s">
        <v>7</v>
      </c>
      <c r="B12" s="22">
        <v>93.1</v>
      </c>
      <c r="C12" s="23">
        <v>256399635.23316863</v>
      </c>
      <c r="D12" s="24">
        <v>38190</v>
      </c>
      <c r="E12" s="14">
        <f t="shared" si="3"/>
        <v>6713.789872562677</v>
      </c>
      <c r="F12" s="14">
        <f>IF(B12&gt;100,-Berechnung_Einzahlung!F12,Berechnung_Auszahlung!F12)/D12</f>
        <v>83.29817525679613</v>
      </c>
      <c r="G12" s="14">
        <f t="shared" si="0"/>
        <v>6797.088047819473</v>
      </c>
      <c r="H12" s="25">
        <f t="shared" si="1"/>
        <v>94.26039635515077</v>
      </c>
      <c r="I12" s="7"/>
      <c r="J12" s="12" t="s">
        <v>7</v>
      </c>
      <c r="K12" s="14">
        <f t="shared" si="4"/>
        <v>-497.1792201299313</v>
      </c>
      <c r="L12" s="52">
        <f t="shared" si="2"/>
        <v>-0.1675415461551817</v>
      </c>
    </row>
    <row r="13" spans="1:12" ht="12.75">
      <c r="A13" s="12" t="s">
        <v>8</v>
      </c>
      <c r="B13" s="22">
        <v>205.8</v>
      </c>
      <c r="C13" s="23">
        <v>1464972165.6852074</v>
      </c>
      <c r="D13" s="24">
        <v>98695.66666666667</v>
      </c>
      <c r="E13" s="14">
        <f t="shared" si="3"/>
        <v>14843.328133473005</v>
      </c>
      <c r="F13" s="14">
        <f>IF(B13&gt;100,-Berechnung_Einzahlung!F13,Berechnung_Auszahlung!F13)/D13</f>
        <v>-1333.414331942363</v>
      </c>
      <c r="G13" s="14">
        <f t="shared" si="0"/>
        <v>13509.913801530642</v>
      </c>
      <c r="H13" s="25">
        <f t="shared" si="1"/>
        <v>187.35226330703878</v>
      </c>
      <c r="I13" s="7"/>
      <c r="J13" s="50" t="s">
        <v>8</v>
      </c>
      <c r="K13" s="15">
        <f t="shared" si="4"/>
        <v>7632.359040780397</v>
      </c>
      <c r="L13" s="53">
        <f t="shared" si="2"/>
        <v>-0.1747053990539239</v>
      </c>
    </row>
    <row r="14" spans="1:12" ht="12.75">
      <c r="A14" s="12" t="s">
        <v>9</v>
      </c>
      <c r="B14" s="22">
        <v>74.6</v>
      </c>
      <c r="C14" s="23">
        <v>1280941424.905606</v>
      </c>
      <c r="D14" s="24">
        <v>238035.66666666666</v>
      </c>
      <c r="E14" s="14">
        <f t="shared" si="3"/>
        <v>5381.300385960113</v>
      </c>
      <c r="F14" s="14">
        <f>IF(B14&gt;100,-Berechnung_Einzahlung!F14,Berechnung_Auszahlung!F14)/D14</f>
        <v>793.7243066589856</v>
      </c>
      <c r="G14" s="14">
        <f t="shared" si="0"/>
        <v>6175.0246926190985</v>
      </c>
      <c r="H14" s="25">
        <f t="shared" si="1"/>
        <v>85.63377006949999</v>
      </c>
      <c r="I14" s="7"/>
      <c r="J14" s="12" t="s">
        <v>9</v>
      </c>
      <c r="K14" s="14">
        <f t="shared" si="4"/>
        <v>-1829.6687067324956</v>
      </c>
      <c r="L14" s="52">
        <f t="shared" si="2"/>
        <v>-0.4338076635067198</v>
      </c>
    </row>
    <row r="15" spans="1:12" ht="12.75">
      <c r="A15" s="12" t="s">
        <v>10</v>
      </c>
      <c r="B15" s="22">
        <v>75.1</v>
      </c>
      <c r="C15" s="23">
        <v>1312039818.7878332</v>
      </c>
      <c r="D15" s="24">
        <v>242429.33333333334</v>
      </c>
      <c r="E15" s="14">
        <f t="shared" si="3"/>
        <v>5412.050599437223</v>
      </c>
      <c r="F15" s="14">
        <f>IF(B15&gt;100,-Berechnung_Einzahlung!F15,Berechnung_Auszahlung!F15)/D15</f>
        <v>766.8917035679101</v>
      </c>
      <c r="G15" s="14">
        <f t="shared" si="0"/>
        <v>6178.942303005133</v>
      </c>
      <c r="H15" s="25">
        <f t="shared" si="1"/>
        <v>85.68809855622177</v>
      </c>
      <c r="I15" s="7"/>
      <c r="J15" s="12" t="s">
        <v>10</v>
      </c>
      <c r="K15" s="14">
        <f t="shared" si="4"/>
        <v>-1798.9184932553853</v>
      </c>
      <c r="L15" s="52">
        <f t="shared" si="2"/>
        <v>-0.4263070875324186</v>
      </c>
    </row>
    <row r="16" spans="1:12" ht="12.75">
      <c r="A16" s="12" t="s">
        <v>11</v>
      </c>
      <c r="B16" s="22">
        <v>148.7</v>
      </c>
      <c r="C16" s="23">
        <v>2051270699.9633493</v>
      </c>
      <c r="D16" s="24">
        <v>191355</v>
      </c>
      <c r="E16" s="14">
        <f t="shared" si="3"/>
        <v>10719.713098499382</v>
      </c>
      <c r="F16" s="14">
        <f>IF(B16&gt;100,-Berechnung_Einzahlung!F16,Berechnung_Auszahlung!F16)/D16</f>
        <v>-613.7738938146792</v>
      </c>
      <c r="G16" s="14">
        <f t="shared" si="0"/>
        <v>10105.939204684702</v>
      </c>
      <c r="H16" s="25">
        <f t="shared" si="1"/>
        <v>140.1467552388454</v>
      </c>
      <c r="I16" s="7"/>
      <c r="J16" s="12" t="s">
        <v>11</v>
      </c>
      <c r="K16" s="14">
        <f t="shared" si="4"/>
        <v>3508.744005806773</v>
      </c>
      <c r="L16" s="52">
        <f t="shared" si="2"/>
        <v>-0.1749269518662285</v>
      </c>
    </row>
    <row r="17" spans="1:12" ht="12.75">
      <c r="A17" s="12" t="s">
        <v>12</v>
      </c>
      <c r="B17" s="22">
        <v>108.7</v>
      </c>
      <c r="C17" s="23">
        <v>2016690054.6088312</v>
      </c>
      <c r="D17" s="24">
        <v>257401</v>
      </c>
      <c r="E17" s="14">
        <f t="shared" si="3"/>
        <v>7834.818258704633</v>
      </c>
      <c r="F17" s="14">
        <f>IF(B17&gt;100,-Berechnung_Einzahlung!F17,Berechnung_Auszahlung!F17)/D17</f>
        <v>-109.647492324183</v>
      </c>
      <c r="G17" s="14">
        <f t="shared" si="0"/>
        <v>7725.17076638045</v>
      </c>
      <c r="H17" s="25">
        <f t="shared" si="1"/>
        <v>107.13082620488443</v>
      </c>
      <c r="I17" s="7"/>
      <c r="J17" s="12" t="s">
        <v>12</v>
      </c>
      <c r="K17" s="14">
        <f t="shared" si="4"/>
        <v>623.8491660120244</v>
      </c>
      <c r="L17" s="52">
        <f t="shared" si="2"/>
        <v>-0.17575961994965558</v>
      </c>
    </row>
    <row r="18" spans="1:12" ht="12.75">
      <c r="A18" s="12" t="s">
        <v>13</v>
      </c>
      <c r="B18" s="22">
        <v>93.1</v>
      </c>
      <c r="C18" s="23">
        <v>491132993.81619537</v>
      </c>
      <c r="D18" s="24">
        <v>73119</v>
      </c>
      <c r="E18" s="14">
        <f t="shared" si="3"/>
        <v>6716.899763620883</v>
      </c>
      <c r="F18" s="14">
        <f>IF(B18&gt;100,-Berechnung_Einzahlung!F18,Berechnung_Auszahlung!F18)/D18</f>
        <v>83.29817525679613</v>
      </c>
      <c r="G18" s="14">
        <f t="shared" si="0"/>
        <v>6800.197938877679</v>
      </c>
      <c r="H18" s="25">
        <f t="shared" si="1"/>
        <v>94.30352358282616</v>
      </c>
      <c r="I18" s="7"/>
      <c r="J18" s="12" t="s">
        <v>13</v>
      </c>
      <c r="K18" s="14">
        <f t="shared" si="4"/>
        <v>-494.0693290717254</v>
      </c>
      <c r="L18" s="52">
        <f t="shared" si="2"/>
        <v>-0.16859612680936828</v>
      </c>
    </row>
    <row r="19" spans="1:12" ht="12.75">
      <c r="A19" s="12" t="s">
        <v>14</v>
      </c>
      <c r="B19" s="22">
        <v>78.5</v>
      </c>
      <c r="C19" s="23">
        <v>300955334.6204892</v>
      </c>
      <c r="D19" s="24">
        <v>53160.333333333336</v>
      </c>
      <c r="E19" s="14">
        <f t="shared" si="3"/>
        <v>5661.27628909693</v>
      </c>
      <c r="F19" s="14">
        <f>IF(B19&gt;100,-Berechnung_Einzahlung!F19,Berechnung_Auszahlung!F19)/D19</f>
        <v>594.8961171068247</v>
      </c>
      <c r="G19" s="14">
        <f t="shared" si="0"/>
        <v>6256.172406203755</v>
      </c>
      <c r="H19" s="25">
        <f t="shared" si="1"/>
        <v>86.75910721269881</v>
      </c>
      <c r="I19" s="7"/>
      <c r="J19" s="12" t="s">
        <v>14</v>
      </c>
      <c r="K19" s="14">
        <f t="shared" si="4"/>
        <v>-1549.692803595679</v>
      </c>
      <c r="L19" s="52">
        <f t="shared" si="2"/>
        <v>-0.3838800281749489</v>
      </c>
    </row>
    <row r="20" spans="1:12" ht="12.75">
      <c r="A20" s="12" t="s">
        <v>15</v>
      </c>
      <c r="B20" s="22">
        <v>82.3</v>
      </c>
      <c r="C20" s="23">
        <v>86860883.39111897</v>
      </c>
      <c r="D20" s="24">
        <v>14635.666666666666</v>
      </c>
      <c r="E20" s="14">
        <f t="shared" si="3"/>
        <v>5934.87713060234</v>
      </c>
      <c r="F20" s="14">
        <f>IF(B20&gt;100,-Berechnung_Einzahlung!F20,Berechnung_Auszahlung!F20)/D20</f>
        <v>424.9463858221895</v>
      </c>
      <c r="G20" s="14">
        <f t="shared" si="0"/>
        <v>6359.82351642453</v>
      </c>
      <c r="H20" s="25">
        <f t="shared" si="1"/>
        <v>88.19651609475618</v>
      </c>
      <c r="I20" s="7"/>
      <c r="J20" s="12" t="s">
        <v>15</v>
      </c>
      <c r="K20" s="14">
        <f t="shared" si="4"/>
        <v>-1276.0919620902687</v>
      </c>
      <c r="L20" s="52">
        <f t="shared" si="2"/>
        <v>-0.3330060829833277</v>
      </c>
    </row>
    <row r="21" spans="1:12" ht="12.75">
      <c r="A21" s="12" t="s">
        <v>16</v>
      </c>
      <c r="B21" s="22">
        <v>76.6</v>
      </c>
      <c r="C21" s="23">
        <v>2477712859.3585973</v>
      </c>
      <c r="D21" s="24">
        <v>448787</v>
      </c>
      <c r="E21" s="14">
        <f t="shared" si="3"/>
        <v>5520.910497315202</v>
      </c>
      <c r="F21" s="14">
        <f>IF(B21&gt;100,-Berechnung_Einzahlung!F21,Berechnung_Auszahlung!F21)/D21</f>
        <v>688.7447250802354</v>
      </c>
      <c r="G21" s="14">
        <f t="shared" si="0"/>
        <v>6209.655222395437</v>
      </c>
      <c r="H21" s="25">
        <f t="shared" si="1"/>
        <v>86.1140179991636</v>
      </c>
      <c r="I21" s="7"/>
      <c r="J21" s="12" t="s">
        <v>16</v>
      </c>
      <c r="K21" s="14">
        <f t="shared" si="4"/>
        <v>-1690.058595377407</v>
      </c>
      <c r="L21" s="52">
        <f t="shared" si="2"/>
        <v>-0.40752712773632077</v>
      </c>
    </row>
    <row r="22" spans="1:12" ht="12.75">
      <c r="A22" s="12" t="s">
        <v>17</v>
      </c>
      <c r="B22" s="22">
        <v>82.7</v>
      </c>
      <c r="C22" s="23">
        <v>1124392308.1419637</v>
      </c>
      <c r="D22" s="24">
        <v>188545.66666666666</v>
      </c>
      <c r="E22" s="14">
        <f t="shared" si="3"/>
        <v>5963.50119321383</v>
      </c>
      <c r="F22" s="14">
        <f>IF(B22&gt;100,-Berechnung_Einzahlung!F22,Berechnung_Auszahlung!F22)/D22</f>
        <v>408.47194979091125</v>
      </c>
      <c r="G22" s="14">
        <f t="shared" si="0"/>
        <v>6371.973143004741</v>
      </c>
      <c r="H22" s="25">
        <f t="shared" si="1"/>
        <v>88.3650042192237</v>
      </c>
      <c r="I22" s="7"/>
      <c r="J22" s="12" t="s">
        <v>17</v>
      </c>
      <c r="K22" s="14">
        <f t="shared" si="4"/>
        <v>-1247.4678994787782</v>
      </c>
      <c r="L22" s="52">
        <f t="shared" si="2"/>
        <v>-0.32744085035100345</v>
      </c>
    </row>
    <row r="23" spans="1:12" ht="12.75">
      <c r="A23" s="12" t="s">
        <v>18</v>
      </c>
      <c r="B23" s="22">
        <v>87.5</v>
      </c>
      <c r="C23" s="23">
        <v>3418900231.1905546</v>
      </c>
      <c r="D23" s="24">
        <v>541639.3333333334</v>
      </c>
      <c r="E23" s="14">
        <f t="shared" si="3"/>
        <v>6312.134331438056</v>
      </c>
      <c r="F23" s="14">
        <f>IF(B23&gt;100,-Berechnung_Einzahlung!F23,Berechnung_Auszahlung!F23)/D23</f>
        <v>232.82334756041672</v>
      </c>
      <c r="G23" s="14">
        <f t="shared" si="0"/>
        <v>6544.957678998472</v>
      </c>
      <c r="H23" s="25">
        <f t="shared" si="1"/>
        <v>90.76391251809616</v>
      </c>
      <c r="I23" s="7"/>
      <c r="J23" s="12" t="s">
        <v>18</v>
      </c>
      <c r="K23" s="14">
        <f t="shared" si="4"/>
        <v>-898.8347612545531</v>
      </c>
      <c r="L23" s="52">
        <f t="shared" si="2"/>
        <v>-0.2590279744359824</v>
      </c>
    </row>
    <row r="24" spans="1:12" ht="12.75">
      <c r="A24" s="12" t="s">
        <v>19</v>
      </c>
      <c r="B24" s="22">
        <v>75.1</v>
      </c>
      <c r="C24" s="23">
        <v>1230967858.4651425</v>
      </c>
      <c r="D24" s="24">
        <v>227280</v>
      </c>
      <c r="E24" s="14">
        <f t="shared" si="3"/>
        <v>5416.085262518226</v>
      </c>
      <c r="F24" s="14">
        <f>IF(B24&gt;100,-Berechnung_Einzahlung!F24,Berechnung_Auszahlung!F24)/D24</f>
        <v>766.8917035679101</v>
      </c>
      <c r="G24" s="14">
        <f t="shared" si="0"/>
        <v>6182.976966086137</v>
      </c>
      <c r="H24" s="25">
        <f t="shared" si="1"/>
        <v>85.74405030180742</v>
      </c>
      <c r="I24" s="7"/>
      <c r="J24" s="12" t="s">
        <v>19</v>
      </c>
      <c r="K24" s="14">
        <f t="shared" si="4"/>
        <v>-1794.8838301743826</v>
      </c>
      <c r="L24" s="52">
        <f t="shared" si="2"/>
        <v>-0.4272653698670863</v>
      </c>
    </row>
    <row r="25" spans="1:12" ht="12.75">
      <c r="A25" s="12" t="s">
        <v>20</v>
      </c>
      <c r="B25" s="22">
        <v>102.2</v>
      </c>
      <c r="C25" s="23">
        <v>2268128664.6425548</v>
      </c>
      <c r="D25" s="24">
        <v>307755.6666666667</v>
      </c>
      <c r="E25" s="14">
        <f t="shared" si="3"/>
        <v>7369.90057472829</v>
      </c>
      <c r="F25" s="14">
        <f>IF(B25&gt;100,-Berechnung_Einzahlung!F25,Berechnung_Auszahlung!F25)/D25</f>
        <v>-27.726952081977338</v>
      </c>
      <c r="G25" s="14">
        <f t="shared" si="0"/>
        <v>7342.173622646313</v>
      </c>
      <c r="H25" s="25">
        <f t="shared" si="1"/>
        <v>101.81951313709918</v>
      </c>
      <c r="I25" s="7"/>
      <c r="J25" s="12" t="s">
        <v>20</v>
      </c>
      <c r="K25" s="14">
        <f t="shared" si="4"/>
        <v>158.93148203568126</v>
      </c>
      <c r="L25" s="52">
        <f t="shared" si="2"/>
        <v>-0.17445852594360403</v>
      </c>
    </row>
    <row r="26" spans="1:12" ht="12.75">
      <c r="A26" s="12" t="s">
        <v>21</v>
      </c>
      <c r="B26" s="22">
        <v>98.2</v>
      </c>
      <c r="C26" s="23">
        <v>4454324655.571716</v>
      </c>
      <c r="D26" s="24">
        <v>629096</v>
      </c>
      <c r="E26" s="14">
        <f t="shared" si="3"/>
        <v>7080.516575485643</v>
      </c>
      <c r="F26" s="14">
        <f>IF(B26&gt;100,-Berechnung_Einzahlung!F26,Berechnung_Auszahlung!F26)/D26</f>
        <v>8.15024962287403</v>
      </c>
      <c r="G26" s="14">
        <f t="shared" si="0"/>
        <v>7088.6668251085175</v>
      </c>
      <c r="H26" s="25">
        <f t="shared" si="1"/>
        <v>98.30394131479459</v>
      </c>
      <c r="I26" s="7"/>
      <c r="J26" s="12" t="s">
        <v>21</v>
      </c>
      <c r="K26" s="14">
        <f t="shared" si="4"/>
        <v>-130.45251720696524</v>
      </c>
      <c r="L26" s="52">
        <f t="shared" si="2"/>
        <v>-0.06247675244122361</v>
      </c>
    </row>
    <row r="27" spans="1:12" ht="12.75">
      <c r="A27" s="12" t="s">
        <v>22</v>
      </c>
      <c r="B27" s="22">
        <v>62.3</v>
      </c>
      <c r="C27" s="23">
        <v>1226604472.8319418</v>
      </c>
      <c r="D27" s="24">
        <v>273244.3333333333</v>
      </c>
      <c r="E27" s="14">
        <f t="shared" si="3"/>
        <v>4489.039014527689</v>
      </c>
      <c r="F27" s="14">
        <f>IF(B27&gt;100,-Berechnung_Einzahlung!F27,Berechnung_Auszahlung!F27)/D27</f>
        <v>1571.5990676235442</v>
      </c>
      <c r="G27" s="14">
        <f t="shared" si="0"/>
        <v>6060.638082151233</v>
      </c>
      <c r="H27" s="25">
        <f t="shared" si="1"/>
        <v>84.04748382977971</v>
      </c>
      <c r="I27" s="7"/>
      <c r="J27" s="12" t="s">
        <v>22</v>
      </c>
      <c r="K27" s="14">
        <f t="shared" si="4"/>
        <v>-2721.93007816492</v>
      </c>
      <c r="L27" s="52">
        <f t="shared" si="2"/>
        <v>-0.5773840703075996</v>
      </c>
    </row>
    <row r="28" spans="1:12" ht="12.75">
      <c r="A28" s="12" t="s">
        <v>23</v>
      </c>
      <c r="B28" s="22">
        <v>92.1</v>
      </c>
      <c r="C28" s="23">
        <v>1104996251.4703436</v>
      </c>
      <c r="D28" s="24">
        <v>166375.66666666666</v>
      </c>
      <c r="E28" s="14">
        <f t="shared" si="3"/>
        <v>6641.573696496144</v>
      </c>
      <c r="F28" s="14">
        <f>IF(B28&gt;100,-Berechnung_Einzahlung!F28,Berechnung_Auszahlung!F28)/D28</f>
        <v>105.2710727652622</v>
      </c>
      <c r="G28" s="14">
        <f t="shared" si="0"/>
        <v>6746.844769261406</v>
      </c>
      <c r="H28" s="25">
        <f t="shared" si="1"/>
        <v>93.56363454807298</v>
      </c>
      <c r="I28" s="7"/>
      <c r="J28" s="12" t="s">
        <v>23</v>
      </c>
      <c r="K28" s="14">
        <f t="shared" si="4"/>
        <v>-569.3953961964644</v>
      </c>
      <c r="L28" s="52">
        <f t="shared" si="2"/>
        <v>-0.18488219867682146</v>
      </c>
    </row>
    <row r="29" spans="1:12" ht="12.75">
      <c r="A29" s="12" t="s">
        <v>24</v>
      </c>
      <c r="B29" s="22">
        <v>158.2</v>
      </c>
      <c r="C29" s="23">
        <v>4675129270.183495</v>
      </c>
      <c r="D29" s="24">
        <v>409828</v>
      </c>
      <c r="E29" s="14">
        <f t="shared" si="3"/>
        <v>11407.539919633346</v>
      </c>
      <c r="F29" s="14">
        <f>IF(B29&gt;100,-Berechnung_Einzahlung!F29,Berechnung_Auszahlung!F29)/D29</f>
        <v>-733.5039141686722</v>
      </c>
      <c r="G29" s="14">
        <f t="shared" si="0"/>
        <v>10674.036005464674</v>
      </c>
      <c r="H29" s="25">
        <f t="shared" si="1"/>
        <v>148.0249862155343</v>
      </c>
      <c r="I29" s="7"/>
      <c r="J29" s="12" t="s">
        <v>24</v>
      </c>
      <c r="K29" s="14">
        <f t="shared" si="4"/>
        <v>4196.570826940737</v>
      </c>
      <c r="L29" s="52">
        <f t="shared" si="2"/>
        <v>-0.17478649697981866</v>
      </c>
    </row>
    <row r="30" spans="1:12" ht="12.75">
      <c r="A30" s="12" t="s">
        <v>25</v>
      </c>
      <c r="B30" s="22">
        <v>66.2</v>
      </c>
      <c r="C30" s="23">
        <v>321947199.35522354</v>
      </c>
      <c r="D30" s="24">
        <v>67420.66666666667</v>
      </c>
      <c r="E30" s="14">
        <f t="shared" si="3"/>
        <v>4775.2004729789605</v>
      </c>
      <c r="F30" s="14">
        <f>IF(B30&gt;100,-Berechnung_Einzahlung!F30,Berechnung_Auszahlung!F30)/D30</f>
        <v>1301.0893048607131</v>
      </c>
      <c r="G30" s="14">
        <f t="shared" si="0"/>
        <v>6076.289777839674</v>
      </c>
      <c r="H30" s="25">
        <f t="shared" si="1"/>
        <v>84.26453781360973</v>
      </c>
      <c r="I30" s="7"/>
      <c r="J30" s="12" t="s">
        <v>25</v>
      </c>
      <c r="K30" s="14">
        <f t="shared" si="4"/>
        <v>-2435.768619713648</v>
      </c>
      <c r="L30" s="52">
        <f t="shared" si="2"/>
        <v>-0.5341596464994572</v>
      </c>
    </row>
    <row r="31" spans="1:12" ht="12.75">
      <c r="A31" s="12" t="s">
        <v>26</v>
      </c>
      <c r="B31" s="22">
        <v>100</v>
      </c>
      <c r="C31" s="23">
        <v>52065586083.66668</v>
      </c>
      <c r="D31" s="24">
        <v>7220331.333333333</v>
      </c>
      <c r="E31" s="14">
        <f t="shared" si="3"/>
        <v>7210.969092692609</v>
      </c>
      <c r="F31" s="14"/>
      <c r="G31" s="14"/>
      <c r="H31" s="12"/>
      <c r="I31" s="7"/>
      <c r="J31" s="12" t="s">
        <v>26</v>
      </c>
      <c r="K31" s="14">
        <f t="shared" si="4"/>
        <v>0</v>
      </c>
      <c r="L31" s="52"/>
    </row>
    <row r="32" spans="1:10" ht="12.75">
      <c r="A32" s="12"/>
      <c r="B32" s="12"/>
      <c r="C32" s="12"/>
      <c r="D32" s="12"/>
      <c r="E32" s="12"/>
      <c r="F32" s="12"/>
      <c r="G32" s="12"/>
      <c r="H32" s="12"/>
      <c r="J32" s="12"/>
    </row>
    <row r="33" spans="1:10" ht="12.75">
      <c r="A33" s="26" t="s">
        <v>45</v>
      </c>
      <c r="B33" s="27">
        <f>MIN(B5:B30)</f>
        <v>62.3</v>
      </c>
      <c r="C33" s="27"/>
      <c r="D33" s="28"/>
      <c r="E33" s="29"/>
      <c r="F33" s="29"/>
      <c r="G33" s="29"/>
      <c r="H33" s="27">
        <f>MIN(H5:H30)</f>
        <v>84.04748382977971</v>
      </c>
      <c r="J33" s="5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6"/>
  <dimension ref="A1:G45"/>
  <sheetViews>
    <sheetView workbookViewId="0" topLeftCell="A1">
      <selection activeCell="C2" sqref="C2"/>
    </sheetView>
  </sheetViews>
  <sheetFormatPr defaultColWidth="11.421875" defaultRowHeight="12.75"/>
  <cols>
    <col min="1" max="1" width="21.00390625" style="4" customWidth="1"/>
    <col min="2" max="2" width="39.8515625" style="4" customWidth="1"/>
    <col min="3" max="3" width="14.28125" style="4" bestFit="1" customWidth="1"/>
    <col min="4" max="4" width="14.421875" style="4" customWidth="1"/>
    <col min="5" max="5" width="14.00390625" style="4" customWidth="1"/>
    <col min="6" max="6" width="13.7109375" style="4" bestFit="1" customWidth="1"/>
    <col min="7" max="7" width="15.421875" style="4" bestFit="1" customWidth="1"/>
    <col min="8" max="16384" width="11.421875" style="4" customWidth="1"/>
  </cols>
  <sheetData>
    <row r="1" ht="15.75">
      <c r="A1" s="3" t="s">
        <v>46</v>
      </c>
    </row>
    <row r="2" ht="15">
      <c r="A2" s="4" t="s">
        <v>31</v>
      </c>
    </row>
    <row r="3" spans="1:6" ht="15.75">
      <c r="A3" s="16"/>
      <c r="B3" s="16"/>
      <c r="C3" s="17">
        <v>1999</v>
      </c>
      <c r="D3" s="17">
        <v>2000</v>
      </c>
      <c r="E3" s="17">
        <v>2001</v>
      </c>
      <c r="F3" s="18" t="s">
        <v>65</v>
      </c>
    </row>
    <row r="4" spans="1:6" ht="15">
      <c r="A4" s="16" t="s">
        <v>42</v>
      </c>
      <c r="B4" s="16"/>
      <c r="C4" s="19">
        <v>48062226.85900001</v>
      </c>
      <c r="D4" s="19">
        <v>50138898.592</v>
      </c>
      <c r="E4" s="19">
        <v>52315027.379999995</v>
      </c>
      <c r="F4" s="19"/>
    </row>
    <row r="5" spans="1:6" ht="15">
      <c r="A5" s="16" t="s">
        <v>43</v>
      </c>
      <c r="B5" s="16"/>
      <c r="C5" s="19">
        <v>10511287</v>
      </c>
      <c r="D5" s="19">
        <v>10684714</v>
      </c>
      <c r="E5" s="19">
        <v>12219325</v>
      </c>
      <c r="F5" s="19"/>
    </row>
    <row r="6" spans="1:6" ht="15">
      <c r="A6" s="16" t="s">
        <v>41</v>
      </c>
      <c r="B6" s="16"/>
      <c r="C6" s="19">
        <f>0.17*C5</f>
        <v>1786918.79</v>
      </c>
      <c r="D6" s="19">
        <f>0.17*D5</f>
        <v>1816401.3800000001</v>
      </c>
      <c r="E6" s="19">
        <f>0.17*E5</f>
        <v>2077285.2500000002</v>
      </c>
      <c r="F6" s="16"/>
    </row>
    <row r="7" spans="1:7" ht="15.75">
      <c r="A7" s="16" t="s">
        <v>32</v>
      </c>
      <c r="B7" s="16"/>
      <c r="C7" s="20">
        <f>C4+C6</f>
        <v>49849145.64900001</v>
      </c>
      <c r="D7" s="20">
        <f>D4+D6</f>
        <v>51955299.972</v>
      </c>
      <c r="E7" s="20">
        <f>E4+E6</f>
        <v>54392312.629999995</v>
      </c>
      <c r="F7" s="19">
        <f>AVERAGE(C7:E7)</f>
        <v>52065586.083666675</v>
      </c>
      <c r="G7" s="5"/>
    </row>
    <row r="8" spans="1:6" ht="15">
      <c r="A8" s="16" t="s">
        <v>40</v>
      </c>
      <c r="B8" s="16"/>
      <c r="C8" s="19">
        <v>7166738</v>
      </c>
      <c r="D8" s="19">
        <v>7209042</v>
      </c>
      <c r="E8" s="19">
        <v>7285214</v>
      </c>
      <c r="F8" s="19">
        <f>AVERAGE(C8:E8)</f>
        <v>7220331.333333333</v>
      </c>
    </row>
    <row r="9" spans="1:6" ht="15.75">
      <c r="A9" s="16" t="s">
        <v>33</v>
      </c>
      <c r="B9" s="16"/>
      <c r="C9" s="16"/>
      <c r="D9" s="16"/>
      <c r="E9" s="16"/>
      <c r="F9" s="20">
        <f>F7/F8*1000</f>
        <v>7210.969092692609</v>
      </c>
    </row>
    <row r="10" spans="1:6" ht="15">
      <c r="A10" s="16"/>
      <c r="B10" s="16"/>
      <c r="C10" s="16"/>
      <c r="D10" s="16"/>
      <c r="E10" s="16"/>
      <c r="F10" s="16"/>
    </row>
    <row r="11" spans="1:6" ht="15">
      <c r="A11" s="16" t="s">
        <v>44</v>
      </c>
      <c r="B11" s="16"/>
      <c r="C11" s="16"/>
      <c r="D11" s="16"/>
      <c r="E11" s="16"/>
      <c r="F11" s="19">
        <v>25065.5963805484</v>
      </c>
    </row>
    <row r="12" spans="1:6" ht="15.75">
      <c r="A12" s="16" t="s">
        <v>48</v>
      </c>
      <c r="B12" s="16"/>
      <c r="C12" s="16"/>
      <c r="D12" s="16"/>
      <c r="E12" s="16"/>
      <c r="F12" s="21">
        <f>F9/F11</f>
        <v>0.2876839227447435</v>
      </c>
    </row>
    <row r="18" spans="3:6" ht="15">
      <c r="C18" s="5"/>
      <c r="D18" s="5"/>
      <c r="E18" s="5"/>
      <c r="F18" s="5"/>
    </row>
    <row r="19" spans="3:6" ht="15">
      <c r="C19" s="5"/>
      <c r="D19" s="5"/>
      <c r="E19" s="5"/>
      <c r="F19" s="5"/>
    </row>
    <row r="20" spans="3:6" ht="15">
      <c r="C20" s="5"/>
      <c r="D20" s="5"/>
      <c r="E20" s="5"/>
      <c r="F20" s="5"/>
    </row>
    <row r="21" spans="3:6" ht="15">
      <c r="C21" s="5"/>
      <c r="D21" s="5"/>
      <c r="E21" s="5"/>
      <c r="F21" s="5"/>
    </row>
    <row r="22" spans="3:6" ht="15">
      <c r="C22" s="5"/>
      <c r="D22" s="5"/>
      <c r="E22" s="5"/>
      <c r="F22" s="5"/>
    </row>
    <row r="23" spans="3:6" ht="15">
      <c r="C23" s="5"/>
      <c r="D23" s="5"/>
      <c r="E23" s="5"/>
      <c r="F23" s="5"/>
    </row>
    <row r="24" spans="3:6" ht="15">
      <c r="C24" s="5"/>
      <c r="D24" s="5"/>
      <c r="E24" s="5"/>
      <c r="F24" s="5"/>
    </row>
    <row r="25" spans="3:6" ht="15">
      <c r="C25" s="5"/>
      <c r="D25" s="5"/>
      <c r="E25" s="5"/>
      <c r="F25" s="5"/>
    </row>
    <row r="26" spans="3:6" ht="15">
      <c r="C26" s="5"/>
      <c r="D26" s="5"/>
      <c r="E26" s="5"/>
      <c r="F26" s="5"/>
    </row>
    <row r="27" spans="3:6" ht="15">
      <c r="C27" s="5"/>
      <c r="D27" s="5"/>
      <c r="E27" s="5"/>
      <c r="F27" s="5"/>
    </row>
    <row r="28" spans="3:6" ht="15">
      <c r="C28" s="5"/>
      <c r="D28" s="5"/>
      <c r="E28" s="5"/>
      <c r="F28" s="5"/>
    </row>
    <row r="29" spans="3:6" ht="15">
      <c r="C29" s="5"/>
      <c r="D29" s="5"/>
      <c r="E29" s="5"/>
      <c r="F29" s="5"/>
    </row>
    <row r="30" spans="3:6" ht="15">
      <c r="C30" s="5"/>
      <c r="D30" s="5"/>
      <c r="E30" s="5"/>
      <c r="F30" s="5"/>
    </row>
    <row r="31" spans="3:6" ht="15">
      <c r="C31" s="5"/>
      <c r="D31" s="5"/>
      <c r="E31" s="5"/>
      <c r="F31" s="5"/>
    </row>
    <row r="32" spans="3:6" ht="15">
      <c r="C32" s="5"/>
      <c r="D32" s="5"/>
      <c r="E32" s="5"/>
      <c r="F32" s="5"/>
    </row>
    <row r="33" spans="3:6" ht="15">
      <c r="C33" s="5"/>
      <c r="D33" s="5"/>
      <c r="E33" s="5"/>
      <c r="F33" s="5"/>
    </row>
    <row r="34" spans="3:6" ht="15">
      <c r="C34" s="5"/>
      <c r="D34" s="5"/>
      <c r="E34" s="5"/>
      <c r="F34" s="5"/>
    </row>
    <row r="35" spans="3:6" ht="15">
      <c r="C35" s="5"/>
      <c r="D35" s="5"/>
      <c r="E35" s="5"/>
      <c r="F35" s="5"/>
    </row>
    <row r="36" spans="3:6" ht="15">
      <c r="C36" s="5"/>
      <c r="D36" s="5"/>
      <c r="E36" s="5"/>
      <c r="F36" s="5"/>
    </row>
    <row r="37" spans="3:6" ht="15">
      <c r="C37" s="5"/>
      <c r="D37" s="5"/>
      <c r="E37" s="5"/>
      <c r="F37" s="5"/>
    </row>
    <row r="38" spans="3:6" ht="15">
      <c r="C38" s="5"/>
      <c r="D38" s="5"/>
      <c r="E38" s="5"/>
      <c r="F38" s="5"/>
    </row>
    <row r="39" spans="3:6" ht="15">
      <c r="C39" s="5"/>
      <c r="D39" s="5"/>
      <c r="E39" s="5"/>
      <c r="F39" s="5"/>
    </row>
    <row r="40" spans="3:6" ht="15">
      <c r="C40" s="5"/>
      <c r="D40" s="5"/>
      <c r="E40" s="5"/>
      <c r="F40" s="5"/>
    </row>
    <row r="41" spans="3:6" ht="15">
      <c r="C41" s="5"/>
      <c r="D41" s="5"/>
      <c r="E41" s="5"/>
      <c r="F41" s="5"/>
    </row>
    <row r="42" spans="3:6" ht="15">
      <c r="C42" s="5"/>
      <c r="D42" s="5"/>
      <c r="E42" s="5"/>
      <c r="F42" s="5"/>
    </row>
    <row r="43" spans="3:6" ht="15">
      <c r="C43" s="5"/>
      <c r="D43" s="5"/>
      <c r="E43" s="5"/>
      <c r="F43" s="5"/>
    </row>
    <row r="44" spans="2:6" ht="15.75">
      <c r="B44" s="3"/>
      <c r="C44" s="6"/>
      <c r="D44" s="6"/>
      <c r="E44" s="6"/>
      <c r="F44" s="6"/>
    </row>
    <row r="45" spans="3:5" ht="15">
      <c r="C45" s="5"/>
      <c r="D45" s="5"/>
      <c r="E45" s="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Finanzverwaltung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</dc:creator>
  <cp:keywords/>
  <dc:description/>
  <cp:lastModifiedBy>Iadarola Antonio EFV</cp:lastModifiedBy>
  <cp:lastPrinted>2004-02-19T16:14:34Z</cp:lastPrinted>
  <dcterms:created xsi:type="dcterms:W3CDTF">2003-10-22T13:58:53Z</dcterms:created>
  <dcterms:modified xsi:type="dcterms:W3CDTF">2007-07-10T13:53:23Z</dcterms:modified>
  <cp:category/>
  <cp:version/>
  <cp:contentType/>
  <cp:contentStatus/>
</cp:coreProperties>
</file>